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1315" windowHeight="12330"/>
  </bookViews>
  <sheets>
    <sheet name="Dépenses 2016" sheetId="1" r:id="rId1"/>
    <sheet name="Rentrées 2016" sheetId="2" r:id="rId2"/>
    <sheet name="Calculs" sheetId="3" r:id="rId3"/>
  </sheets>
  <calcPr calcId="125725"/>
</workbook>
</file>

<file path=xl/calcChain.xml><?xml version="1.0" encoding="utf-8"?>
<calcChain xmlns="http://schemas.openxmlformats.org/spreadsheetml/2006/main">
  <c r="D5" i="2"/>
  <c r="B26" i="1"/>
  <c r="F8" i="2"/>
  <c r="B7"/>
  <c r="B5"/>
  <c r="B18" i="3"/>
  <c r="D17"/>
  <c r="E14"/>
  <c r="C14"/>
  <c r="E9"/>
  <c r="E11" s="1"/>
  <c r="E8"/>
  <c r="E7"/>
  <c r="E5"/>
  <c r="B36" i="1"/>
  <c r="B34"/>
  <c r="B24"/>
  <c r="B30"/>
  <c r="G20" i="2"/>
  <c r="G21"/>
  <c r="G22"/>
  <c r="G23"/>
  <c r="G24"/>
  <c r="G25"/>
  <c r="G19"/>
  <c r="C20"/>
  <c r="C21"/>
  <c r="C22"/>
  <c r="C23"/>
  <c r="C24"/>
  <c r="C25"/>
  <c r="C19"/>
  <c r="D20"/>
  <c r="D21"/>
  <c r="D22"/>
  <c r="D23"/>
  <c r="D24"/>
  <c r="D25"/>
  <c r="D19"/>
  <c r="B27" i="1"/>
  <c r="B31" l="1"/>
  <c r="B16" i="2"/>
  <c r="G8"/>
  <c r="C16" l="1"/>
  <c r="D16"/>
  <c r="J16" s="1"/>
  <c r="B13"/>
  <c r="D13" s="1"/>
  <c r="F14"/>
  <c r="H20"/>
  <c r="H21"/>
  <c r="H22"/>
  <c r="H23"/>
  <c r="H24"/>
  <c r="H25"/>
  <c r="H19"/>
  <c r="H8"/>
  <c r="J8" l="1"/>
  <c r="H29"/>
  <c r="H31" s="1"/>
  <c r="J13"/>
  <c r="C13"/>
  <c r="H14"/>
  <c r="J14" s="1"/>
  <c r="G14"/>
  <c r="G29" s="1"/>
  <c r="G31" s="1"/>
  <c r="F29"/>
  <c r="F31" s="1"/>
  <c r="B11"/>
  <c r="D11" s="1"/>
  <c r="B10"/>
  <c r="J20"/>
  <c r="J21"/>
  <c r="J22"/>
  <c r="J23"/>
  <c r="J24"/>
  <c r="J25"/>
  <c r="J19"/>
  <c r="C10" l="1"/>
  <c r="D10"/>
  <c r="J10" s="1"/>
  <c r="J11"/>
  <c r="C11"/>
  <c r="B38" i="1"/>
  <c r="C7" i="2" l="1"/>
  <c r="D7"/>
  <c r="B29"/>
  <c r="B31" s="1"/>
  <c r="C5"/>
  <c r="J5"/>
  <c r="C29" l="1"/>
  <c r="J7"/>
  <c r="D29"/>
  <c r="D31" s="1"/>
  <c r="B34"/>
  <c r="B35" s="1"/>
  <c r="C31"/>
  <c r="J29"/>
  <c r="J31" s="1"/>
</calcChain>
</file>

<file path=xl/sharedStrings.xml><?xml version="1.0" encoding="utf-8"?>
<sst xmlns="http://schemas.openxmlformats.org/spreadsheetml/2006/main" count="65" uniqueCount="58">
  <si>
    <t>Prévision des dépenses 2016 LOADED ENERGY DRINK</t>
  </si>
  <si>
    <t>Beach Flags</t>
  </si>
  <si>
    <t>Sponsoring Rallye ?</t>
  </si>
  <si>
    <t>Sponsoring Trophée Venoge ?</t>
  </si>
  <si>
    <t>Sponsoring Challenge ?</t>
  </si>
  <si>
    <t>Sponsoring Giron SHPTV</t>
  </si>
  <si>
    <t>Sponsoring Giron Cugy</t>
  </si>
  <si>
    <t>Sponsoring Giron Montricher</t>
  </si>
  <si>
    <t>Sponsoring Giron La Mauguettaz</t>
  </si>
  <si>
    <t>Posters (100x A1 135g mat)</t>
  </si>
  <si>
    <t>Autocollants (200x 8x12cm transp.)</t>
  </si>
  <si>
    <t>T-Shirts (100x philipines=5.88/p.)</t>
  </si>
  <si>
    <t>Bâche (2x)</t>
  </si>
  <si>
    <t>Cartes de visite (250x)</t>
  </si>
  <si>
    <t>Flyers (250x)</t>
  </si>
  <si>
    <t>Pulls (6x)</t>
  </si>
  <si>
    <t>Présentoirs de table en carton (19x)</t>
  </si>
  <si>
    <t>Présentoirs hexagonaux</t>
  </si>
  <si>
    <t>?</t>
  </si>
  <si>
    <t>Frigos canettes (5x)</t>
  </si>
  <si>
    <t>Sponsoring Radio Back2Noize (canettes)</t>
  </si>
  <si>
    <t>TOTAL DEPENSES:</t>
  </si>
  <si>
    <t>Giron SHPTV</t>
  </si>
  <si>
    <t>Giron Cugy</t>
  </si>
  <si>
    <t>Giron Montricher</t>
  </si>
  <si>
    <t>Giron La Mauguettaz</t>
  </si>
  <si>
    <t>Rallye ?</t>
  </si>
  <si>
    <t>Trophée Venoge ?</t>
  </si>
  <si>
    <t>Challenge ?</t>
  </si>
  <si>
    <t>Points de vente (200x - 1 pack/mois)</t>
  </si>
  <si>
    <t>Qté canettes</t>
  </si>
  <si>
    <t>BB</t>
  </si>
  <si>
    <t>Prévision des ventes 2016 LOADED ENERGY DRINK</t>
  </si>
  <si>
    <t>Vente aux collaborateurs (3 pack/mois)</t>
  </si>
  <si>
    <t>Vente aux amis (5 packs/mois)</t>
  </si>
  <si>
    <t>Qté litres</t>
  </si>
  <si>
    <t>BB total</t>
  </si>
  <si>
    <t>Pub - Discothèques (10 packs/mois)</t>
  </si>
  <si>
    <t>Pub - Discothèques (5 packs/mois)</t>
  </si>
  <si>
    <t>Meetings de tuning (5x 8 packs)</t>
  </si>
  <si>
    <t>Salaire</t>
  </si>
  <si>
    <t>Véhicule</t>
  </si>
  <si>
    <t>Bénéfice Brut TOTAL annuel</t>
  </si>
  <si>
    <t>Bénéfice Brut MENSUEL</t>
  </si>
  <si>
    <t>Dépenses Mensuelles:</t>
  </si>
  <si>
    <t>Achat canettes</t>
  </si>
  <si>
    <t>Achat litres (2x 10'000 litres)</t>
  </si>
  <si>
    <t>PV</t>
  </si>
  <si>
    <t>PV TOTAL</t>
  </si>
  <si>
    <t>BB TOTAL</t>
  </si>
  <si>
    <t>Primes</t>
  </si>
  <si>
    <t>Stockage</t>
  </si>
  <si>
    <t>Livraison</t>
  </si>
  <si>
    <t>CA ANNUEL TOTAL</t>
  </si>
  <si>
    <t>Feuille de calculs</t>
  </si>
  <si>
    <t>CA MENSUEL</t>
  </si>
  <si>
    <t>Grossistes (5x - 1 palette/mois)</t>
  </si>
  <si>
    <t>Grossistes (5x 0.25 palette/mois)</t>
  </si>
</sst>
</file>

<file path=xl/styles.xml><?xml version="1.0" encoding="utf-8"?>
<styleSheet xmlns="http://schemas.openxmlformats.org/spreadsheetml/2006/main">
  <numFmts count="1">
    <numFmt numFmtId="164" formatCode="&quot;fr.&quot;\ 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tted">
        <color auto="1"/>
      </left>
      <right style="dotted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3" xfId="0" applyFont="1" applyBorder="1"/>
    <xf numFmtId="164" fontId="1" fillId="0" borderId="5" xfId="0" applyNumberFormat="1" applyFont="1" applyBorder="1"/>
    <xf numFmtId="0" fontId="0" fillId="0" borderId="0" xfId="0" applyBorder="1"/>
    <xf numFmtId="0" fontId="0" fillId="0" borderId="7" xfId="0" applyBorder="1"/>
    <xf numFmtId="0" fontId="3" fillId="0" borderId="3" xfId="0" applyFont="1" applyBorder="1"/>
    <xf numFmtId="0" fontId="3" fillId="0" borderId="4" xfId="0" applyFont="1" applyBorder="1"/>
    <xf numFmtId="164" fontId="3" fillId="0" borderId="4" xfId="0" applyNumberFormat="1" applyFont="1" applyBorder="1"/>
    <xf numFmtId="0" fontId="3" fillId="0" borderId="7" xfId="0" applyFont="1" applyBorder="1"/>
    <xf numFmtId="164" fontId="3" fillId="0" borderId="5" xfId="0" applyNumberFormat="1" applyFont="1" applyBorder="1"/>
    <xf numFmtId="164" fontId="0" fillId="0" borderId="5" xfId="0" applyNumberFormat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2" fillId="0" borderId="6" xfId="0" applyFont="1" applyBorder="1"/>
    <xf numFmtId="164" fontId="2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8"/>
  <sheetViews>
    <sheetView tabSelected="1" workbookViewId="0"/>
  </sheetViews>
  <sheetFormatPr baseColWidth="10" defaultRowHeight="15"/>
  <cols>
    <col min="1" max="1" width="36.7109375" customWidth="1"/>
    <col min="2" max="2" width="12.85546875" customWidth="1"/>
  </cols>
  <sheetData>
    <row r="1" spans="1:2">
      <c r="A1" s="1" t="s">
        <v>0</v>
      </c>
    </row>
    <row r="3" spans="1:2">
      <c r="A3" s="6" t="s">
        <v>14</v>
      </c>
      <c r="B3" s="8">
        <v>66.36</v>
      </c>
    </row>
    <row r="4" spans="1:2">
      <c r="A4" s="6" t="s">
        <v>9</v>
      </c>
      <c r="B4" s="8">
        <v>131.19999999999999</v>
      </c>
    </row>
    <row r="5" spans="1:2">
      <c r="A5" s="6" t="s">
        <v>13</v>
      </c>
      <c r="B5" s="8">
        <v>32.28</v>
      </c>
    </row>
    <row r="6" spans="1:2">
      <c r="A6" s="6" t="s">
        <v>10</v>
      </c>
      <c r="B6" s="8">
        <v>61.2</v>
      </c>
    </row>
    <row r="7" spans="1:2">
      <c r="A7" s="6" t="s">
        <v>12</v>
      </c>
      <c r="B7" s="8">
        <v>58.74</v>
      </c>
    </row>
    <row r="8" spans="1:2">
      <c r="A8" s="6" t="s">
        <v>11</v>
      </c>
      <c r="B8" s="8">
        <v>588.70000000000005</v>
      </c>
    </row>
    <row r="9" spans="1:2">
      <c r="A9" s="6" t="s">
        <v>15</v>
      </c>
      <c r="B9" s="8">
        <v>269.95</v>
      </c>
    </row>
    <row r="10" spans="1:2">
      <c r="B10" s="3"/>
    </row>
    <row r="11" spans="1:2">
      <c r="A11" s="6" t="s">
        <v>16</v>
      </c>
      <c r="B11" s="8">
        <v>403.9</v>
      </c>
    </row>
    <row r="12" spans="1:2">
      <c r="A12" s="6" t="s">
        <v>1</v>
      </c>
      <c r="B12" s="22" t="s">
        <v>18</v>
      </c>
    </row>
    <row r="13" spans="1:2">
      <c r="A13" s="6" t="s">
        <v>17</v>
      </c>
      <c r="B13" s="22" t="s">
        <v>18</v>
      </c>
    </row>
    <row r="14" spans="1:2">
      <c r="A14" s="6" t="s">
        <v>19</v>
      </c>
      <c r="B14" s="8">
        <v>1120</v>
      </c>
    </row>
    <row r="15" spans="1:2">
      <c r="B15" s="3"/>
    </row>
    <row r="16" spans="1:2">
      <c r="A16" s="6" t="s">
        <v>5</v>
      </c>
      <c r="B16" s="8">
        <v>1000</v>
      </c>
    </row>
    <row r="17" spans="1:2">
      <c r="A17" s="6" t="s">
        <v>6</v>
      </c>
      <c r="B17" s="8">
        <v>1000</v>
      </c>
    </row>
    <row r="18" spans="1:2">
      <c r="A18" s="6" t="s">
        <v>7</v>
      </c>
      <c r="B18" s="8">
        <v>1000</v>
      </c>
    </row>
    <row r="19" spans="1:2">
      <c r="A19" s="6" t="s">
        <v>8</v>
      </c>
      <c r="B19" s="8">
        <v>1000</v>
      </c>
    </row>
    <row r="20" spans="1:2">
      <c r="A20" s="6" t="s">
        <v>2</v>
      </c>
      <c r="B20" s="8">
        <v>300</v>
      </c>
    </row>
    <row r="21" spans="1:2">
      <c r="A21" s="6" t="s">
        <v>3</v>
      </c>
      <c r="B21" s="8">
        <v>300</v>
      </c>
    </row>
    <row r="22" spans="1:2">
      <c r="A22" s="6" t="s">
        <v>4</v>
      </c>
      <c r="B22" s="8">
        <v>300</v>
      </c>
    </row>
    <row r="23" spans="1:2">
      <c r="B23" s="3"/>
    </row>
    <row r="24" spans="1:2">
      <c r="A24" s="6" t="s">
        <v>20</v>
      </c>
      <c r="B24" s="8">
        <f>25*8.88</f>
        <v>222.00000000000003</v>
      </c>
    </row>
    <row r="25" spans="1:2">
      <c r="B25" s="3"/>
    </row>
    <row r="26" spans="1:2">
      <c r="A26" s="6" t="s">
        <v>45</v>
      </c>
      <c r="B26" s="8">
        <f>52582.5+34237.5+7269</f>
        <v>94089</v>
      </c>
    </row>
    <row r="27" spans="1:2">
      <c r="A27" s="6" t="s">
        <v>46</v>
      </c>
      <c r="B27" s="8">
        <f>2*10664.1</f>
        <v>21328.2</v>
      </c>
    </row>
    <row r="28" spans="1:2">
      <c r="B28" s="3"/>
    </row>
    <row r="29" spans="1:2">
      <c r="A29" s="6" t="s">
        <v>40</v>
      </c>
      <c r="B29" s="8">
        <v>33900</v>
      </c>
    </row>
    <row r="30" spans="1:2">
      <c r="A30" s="6" t="s">
        <v>50</v>
      </c>
      <c r="B30" s="8">
        <f>9331.2+2500</f>
        <v>11831.2</v>
      </c>
    </row>
    <row r="31" spans="1:2">
      <c r="A31" s="6" t="s">
        <v>41</v>
      </c>
      <c r="B31" s="8">
        <f>750*12</f>
        <v>9000</v>
      </c>
    </row>
    <row r="32" spans="1:2">
      <c r="B32" s="3"/>
    </row>
    <row r="33" spans="1:2">
      <c r="A33" s="6" t="s">
        <v>51</v>
      </c>
      <c r="B33" s="8">
        <v>6000</v>
      </c>
    </row>
    <row r="34" spans="1:2">
      <c r="A34" s="6" t="s">
        <v>52</v>
      </c>
      <c r="B34" s="8">
        <f>72*141.5</f>
        <v>10188</v>
      </c>
    </row>
    <row r="35" spans="1:2" ht="15.75" thickBot="1">
      <c r="B35" s="3"/>
    </row>
    <row r="36" spans="1:2" ht="15.75" thickBot="1">
      <c r="A36" s="23" t="s">
        <v>21</v>
      </c>
      <c r="B36" s="24">
        <f>SUM(B3:B34)</f>
        <v>194190.73</v>
      </c>
    </row>
    <row r="37" spans="1:2" ht="15.75" thickBot="1">
      <c r="B37" s="3"/>
    </row>
    <row r="38" spans="1:2" ht="15.75" thickBot="1">
      <c r="A38" s="25" t="s">
        <v>44</v>
      </c>
      <c r="B38" s="26">
        <f>B36/12</f>
        <v>16182.560833333335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A33" sqref="A33"/>
    </sheetView>
  </sheetViews>
  <sheetFormatPr baseColWidth="10" defaultRowHeight="15"/>
  <cols>
    <col min="1" max="1" width="38.85546875" customWidth="1"/>
    <col min="2" max="3" width="12.42578125" bestFit="1" customWidth="1"/>
    <col min="4" max="4" width="12.42578125" customWidth="1"/>
    <col min="5" max="5" width="4.28515625" customWidth="1"/>
    <col min="8" max="8" width="11.85546875" customWidth="1"/>
    <col min="9" max="9" width="2.28515625" customWidth="1"/>
    <col min="10" max="10" width="12.5703125" bestFit="1" customWidth="1"/>
  </cols>
  <sheetData>
    <row r="1" spans="1:10">
      <c r="A1" s="1" t="s">
        <v>32</v>
      </c>
    </row>
    <row r="2" spans="1:10" ht="15.75" thickBot="1"/>
    <row r="3" spans="1:10" ht="15.75" thickBot="1">
      <c r="B3" s="4" t="s">
        <v>30</v>
      </c>
      <c r="C3" s="4" t="s">
        <v>47</v>
      </c>
      <c r="D3" s="4" t="s">
        <v>31</v>
      </c>
      <c r="E3" s="2"/>
      <c r="F3" s="4" t="s">
        <v>35</v>
      </c>
      <c r="G3" s="4" t="s">
        <v>47</v>
      </c>
      <c r="H3" s="4" t="s">
        <v>31</v>
      </c>
      <c r="J3" s="4" t="s">
        <v>36</v>
      </c>
    </row>
    <row r="4" spans="1:10" ht="6" customHeight="1"/>
    <row r="5" spans="1:10">
      <c r="A5" s="5" t="s">
        <v>29</v>
      </c>
      <c r="B5" s="6">
        <f>(200*12)*24</f>
        <v>57600</v>
      </c>
      <c r="C5" s="10">
        <f>B5*0.95</f>
        <v>54720</v>
      </c>
      <c r="D5" s="10">
        <f>SUM(B5)*(0.95-0.35055)</f>
        <v>34528.32</v>
      </c>
      <c r="E5" s="10"/>
      <c r="F5" s="7"/>
      <c r="G5" s="7"/>
      <c r="H5" s="8"/>
      <c r="J5" s="9">
        <f>SUM(D5+H5)</f>
        <v>34528.32</v>
      </c>
    </row>
    <row r="6" spans="1:10" ht="5.25" customHeight="1">
      <c r="C6" s="10"/>
      <c r="D6" s="3"/>
      <c r="E6" s="3"/>
      <c r="H6" s="3"/>
      <c r="J6" s="3"/>
    </row>
    <row r="7" spans="1:10">
      <c r="A7" s="5" t="s">
        <v>56</v>
      </c>
      <c r="B7" s="6">
        <f>SUM(5*12)*2592</f>
        <v>155520</v>
      </c>
      <c r="C7" s="10">
        <f>B7*0.6</f>
        <v>93312</v>
      </c>
      <c r="D7" s="10">
        <f>SUM((B7)*(14.76-8.88)/24)</f>
        <v>38102.399999999994</v>
      </c>
      <c r="E7" s="10"/>
      <c r="F7" s="7"/>
      <c r="G7" s="7"/>
      <c r="H7" s="8"/>
      <c r="J7" s="9">
        <f t="shared" ref="J7:J25" si="0">SUM(D7+H7)</f>
        <v>38102.399999999994</v>
      </c>
    </row>
    <row r="8" spans="1:10">
      <c r="A8" s="5" t="s">
        <v>57</v>
      </c>
      <c r="B8" s="6"/>
      <c r="C8" s="10"/>
      <c r="D8" s="10"/>
      <c r="E8" s="10"/>
      <c r="F8" s="7">
        <f>SUM(5*3)*620</f>
        <v>9300</v>
      </c>
      <c r="G8" s="10">
        <f>F8*1.5</f>
        <v>13950</v>
      </c>
      <c r="H8" s="8">
        <f>F8*0.44</f>
        <v>4092</v>
      </c>
      <c r="J8" s="9">
        <f t="shared" si="0"/>
        <v>4092</v>
      </c>
    </row>
    <row r="9" spans="1:10">
      <c r="H9" s="3"/>
      <c r="J9" s="3"/>
    </row>
    <row r="10" spans="1:10">
      <c r="A10" s="5" t="s">
        <v>33</v>
      </c>
      <c r="B10" s="6">
        <f>36*24</f>
        <v>864</v>
      </c>
      <c r="C10" s="10">
        <f>(B10*15)/24</f>
        <v>540</v>
      </c>
      <c r="D10" s="10">
        <f>(B10*(15-8.88)/24)</f>
        <v>220.31999999999996</v>
      </c>
      <c r="E10" s="10"/>
      <c r="F10" s="7"/>
      <c r="G10" s="7"/>
      <c r="H10" s="8"/>
      <c r="J10" s="9">
        <f t="shared" si="0"/>
        <v>220.31999999999996</v>
      </c>
    </row>
    <row r="11" spans="1:10">
      <c r="A11" s="5" t="s">
        <v>34</v>
      </c>
      <c r="B11" s="6">
        <f>60*24</f>
        <v>1440</v>
      </c>
      <c r="C11" s="10">
        <f>(B11*24)/24</f>
        <v>1440</v>
      </c>
      <c r="D11" s="10">
        <f>(B11*(24-8.88)/24)</f>
        <v>907.19999999999993</v>
      </c>
      <c r="E11" s="10"/>
      <c r="F11" s="7"/>
      <c r="G11" s="7"/>
      <c r="H11" s="8"/>
      <c r="J11" s="9">
        <f t="shared" si="0"/>
        <v>907.19999999999993</v>
      </c>
    </row>
    <row r="12" spans="1:10">
      <c r="J12" s="3"/>
    </row>
    <row r="13" spans="1:10">
      <c r="A13" s="5" t="s">
        <v>37</v>
      </c>
      <c r="B13" s="6">
        <f>120*24</f>
        <v>2880</v>
      </c>
      <c r="C13" s="10">
        <f>(B13*0.95)</f>
        <v>2736</v>
      </c>
      <c r="D13" s="10">
        <f>(B13*(22.8-8.88)/24)</f>
        <v>1670.3999999999999</v>
      </c>
      <c r="E13" s="10"/>
      <c r="F13" s="7"/>
      <c r="G13" s="7"/>
      <c r="H13" s="8"/>
      <c r="J13" s="9">
        <f>D13+H13</f>
        <v>1670.3999999999999</v>
      </c>
    </row>
    <row r="14" spans="1:10">
      <c r="A14" s="5" t="s">
        <v>38</v>
      </c>
      <c r="B14" s="6"/>
      <c r="C14" s="10"/>
      <c r="D14" s="10"/>
      <c r="E14" s="10"/>
      <c r="F14" s="7">
        <f>(5*12)*6</f>
        <v>360</v>
      </c>
      <c r="G14" s="8">
        <f>F14*2</f>
        <v>720</v>
      </c>
      <c r="H14" s="8">
        <f>F14*0.94</f>
        <v>338.4</v>
      </c>
      <c r="J14" s="9">
        <f>D14+H14</f>
        <v>338.4</v>
      </c>
    </row>
    <row r="15" spans="1:10">
      <c r="C15" s="10"/>
      <c r="D15" s="3"/>
      <c r="E15" s="3"/>
      <c r="H15" s="3"/>
      <c r="J15" s="3"/>
    </row>
    <row r="16" spans="1:10">
      <c r="A16" s="5" t="s">
        <v>39</v>
      </c>
      <c r="B16" s="6">
        <f>(5*8)*24</f>
        <v>960</v>
      </c>
      <c r="C16" s="10">
        <f>B16*1</f>
        <v>960</v>
      </c>
      <c r="D16" s="10">
        <f>(B16*(24-8.88)/24)</f>
        <v>604.79999999999995</v>
      </c>
      <c r="E16" s="10"/>
      <c r="F16" s="7"/>
      <c r="G16" s="7"/>
      <c r="H16" s="8"/>
      <c r="J16" s="9">
        <f>D16+H16</f>
        <v>604.79999999999995</v>
      </c>
    </row>
    <row r="17" spans="1:10">
      <c r="H17" s="3"/>
      <c r="J17" s="3"/>
    </row>
    <row r="18" spans="1:10">
      <c r="H18" s="3"/>
      <c r="J18" s="3"/>
    </row>
    <row r="19" spans="1:10">
      <c r="A19" s="5" t="s">
        <v>22</v>
      </c>
      <c r="B19" s="6">
        <v>10000</v>
      </c>
      <c r="C19" s="10">
        <f>B19*0.6</f>
        <v>6000</v>
      </c>
      <c r="D19" s="10">
        <f>B19*0.24945</f>
        <v>2494.5</v>
      </c>
      <c r="E19" s="10"/>
      <c r="F19" s="7">
        <v>1500</v>
      </c>
      <c r="G19" s="8">
        <f>F19*1.5</f>
        <v>2250</v>
      </c>
      <c r="H19" s="8">
        <f>F19*0.44</f>
        <v>660</v>
      </c>
      <c r="J19" s="9">
        <f t="shared" si="0"/>
        <v>3154.5</v>
      </c>
    </row>
    <row r="20" spans="1:10">
      <c r="A20" s="5" t="s">
        <v>23</v>
      </c>
      <c r="B20" s="6">
        <v>10000</v>
      </c>
      <c r="C20" s="10">
        <f t="shared" ref="C20:C25" si="1">B20*0.6</f>
        <v>6000</v>
      </c>
      <c r="D20" s="10">
        <f t="shared" ref="D20:D25" si="2">B20*0.24945</f>
        <v>2494.5</v>
      </c>
      <c r="E20" s="10"/>
      <c r="F20" s="7">
        <v>1500</v>
      </c>
      <c r="G20" s="8">
        <f t="shared" ref="G20:G25" si="3">F20*1.5</f>
        <v>2250</v>
      </c>
      <c r="H20" s="8">
        <f t="shared" ref="H20:H25" si="4">F20*0.44</f>
        <v>660</v>
      </c>
      <c r="J20" s="9">
        <f t="shared" si="0"/>
        <v>3154.5</v>
      </c>
    </row>
    <row r="21" spans="1:10">
      <c r="A21" s="5" t="s">
        <v>24</v>
      </c>
      <c r="B21" s="6">
        <v>10000</v>
      </c>
      <c r="C21" s="10">
        <f t="shared" si="1"/>
        <v>6000</v>
      </c>
      <c r="D21" s="10">
        <f t="shared" si="2"/>
        <v>2494.5</v>
      </c>
      <c r="E21" s="10"/>
      <c r="F21" s="7">
        <v>1500</v>
      </c>
      <c r="G21" s="8">
        <f t="shared" si="3"/>
        <v>2250</v>
      </c>
      <c r="H21" s="8">
        <f t="shared" si="4"/>
        <v>660</v>
      </c>
      <c r="J21" s="9">
        <f t="shared" si="0"/>
        <v>3154.5</v>
      </c>
    </row>
    <row r="22" spans="1:10">
      <c r="A22" s="5" t="s">
        <v>25</v>
      </c>
      <c r="B22" s="6">
        <v>10000</v>
      </c>
      <c r="C22" s="10">
        <f t="shared" si="1"/>
        <v>6000</v>
      </c>
      <c r="D22" s="10">
        <f t="shared" si="2"/>
        <v>2494.5</v>
      </c>
      <c r="E22" s="10"/>
      <c r="F22" s="7">
        <v>1500</v>
      </c>
      <c r="G22" s="8">
        <f t="shared" si="3"/>
        <v>2250</v>
      </c>
      <c r="H22" s="8">
        <f t="shared" si="4"/>
        <v>660</v>
      </c>
      <c r="J22" s="9">
        <f t="shared" si="0"/>
        <v>3154.5</v>
      </c>
    </row>
    <row r="23" spans="1:10">
      <c r="A23" s="5" t="s">
        <v>26</v>
      </c>
      <c r="B23" s="6">
        <v>5000</v>
      </c>
      <c r="C23" s="10">
        <f t="shared" si="1"/>
        <v>3000</v>
      </c>
      <c r="D23" s="10">
        <f t="shared" si="2"/>
        <v>1247.25</v>
      </c>
      <c r="E23" s="10"/>
      <c r="F23" s="7">
        <v>750</v>
      </c>
      <c r="G23" s="8">
        <f t="shared" si="3"/>
        <v>1125</v>
      </c>
      <c r="H23" s="8">
        <f t="shared" si="4"/>
        <v>330</v>
      </c>
      <c r="J23" s="9">
        <f t="shared" si="0"/>
        <v>1577.25</v>
      </c>
    </row>
    <row r="24" spans="1:10">
      <c r="A24" s="5" t="s">
        <v>27</v>
      </c>
      <c r="B24" s="6">
        <v>2500</v>
      </c>
      <c r="C24" s="10">
        <f t="shared" si="1"/>
        <v>1500</v>
      </c>
      <c r="D24" s="10">
        <f t="shared" si="2"/>
        <v>623.625</v>
      </c>
      <c r="E24" s="10"/>
      <c r="F24" s="7">
        <v>375</v>
      </c>
      <c r="G24" s="8">
        <f t="shared" si="3"/>
        <v>562.5</v>
      </c>
      <c r="H24" s="8">
        <f t="shared" si="4"/>
        <v>165</v>
      </c>
      <c r="J24" s="9">
        <f t="shared" si="0"/>
        <v>788.625</v>
      </c>
    </row>
    <row r="25" spans="1:10">
      <c r="A25" s="5" t="s">
        <v>28</v>
      </c>
      <c r="B25" s="6">
        <v>5000</v>
      </c>
      <c r="C25" s="10">
        <f t="shared" si="1"/>
        <v>3000</v>
      </c>
      <c r="D25" s="10">
        <f t="shared" si="2"/>
        <v>1247.25</v>
      </c>
      <c r="E25" s="10"/>
      <c r="F25" s="7">
        <v>750</v>
      </c>
      <c r="G25" s="8">
        <f t="shared" si="3"/>
        <v>1125</v>
      </c>
      <c r="H25" s="8">
        <f t="shared" si="4"/>
        <v>330</v>
      </c>
      <c r="J25" s="9">
        <f t="shared" si="0"/>
        <v>1577.25</v>
      </c>
    </row>
    <row r="26" spans="1:10">
      <c r="J26" s="3"/>
    </row>
    <row r="27" spans="1:10">
      <c r="J27" s="3"/>
    </row>
    <row r="28" spans="1:10">
      <c r="B28" s="5" t="s">
        <v>30</v>
      </c>
      <c r="C28" s="5" t="s">
        <v>48</v>
      </c>
      <c r="D28" s="5" t="s">
        <v>49</v>
      </c>
      <c r="F28" s="5" t="s">
        <v>35</v>
      </c>
      <c r="G28" s="5" t="s">
        <v>48</v>
      </c>
      <c r="H28" s="5" t="s">
        <v>49</v>
      </c>
      <c r="J28" s="3"/>
    </row>
    <row r="29" spans="1:10">
      <c r="A29" s="13" t="s">
        <v>42</v>
      </c>
      <c r="B29" s="7">
        <f>SUM(B5:B27)</f>
        <v>271764</v>
      </c>
      <c r="C29" s="10">
        <f>SUM(C5:C25)</f>
        <v>185208</v>
      </c>
      <c r="D29" s="10">
        <f>SUM(D5:D25)</f>
        <v>89129.565000000002</v>
      </c>
      <c r="E29" s="16"/>
      <c r="F29" s="7">
        <f>SUM(F5:F27)</f>
        <v>17535</v>
      </c>
      <c r="G29" s="10">
        <f>SUM(G5:G25)</f>
        <v>26482.5</v>
      </c>
      <c r="H29" s="10">
        <f>SUM(H5:H25)</f>
        <v>7895.4</v>
      </c>
      <c r="I29" s="16"/>
      <c r="J29" s="14">
        <f>SUM(J5:J25)</f>
        <v>97024.964999999997</v>
      </c>
    </row>
    <row r="30" spans="1:10">
      <c r="E30" s="15"/>
      <c r="I30" s="15"/>
      <c r="J30" s="3"/>
    </row>
    <row r="31" spans="1:10">
      <c r="A31" s="17" t="s">
        <v>43</v>
      </c>
      <c r="B31" s="18">
        <f>B29/12</f>
        <v>22647</v>
      </c>
      <c r="C31" s="19">
        <f>C29/12</f>
        <v>15434</v>
      </c>
      <c r="D31" s="19">
        <f>D29/12</f>
        <v>7427.4637499999999</v>
      </c>
      <c r="E31" s="20"/>
      <c r="F31" s="18">
        <f>F29/12</f>
        <v>1461.25</v>
      </c>
      <c r="G31" s="19">
        <f>G29/12</f>
        <v>2206.875</v>
      </c>
      <c r="H31" s="19">
        <f>H29/12</f>
        <v>657.94999999999993</v>
      </c>
      <c r="I31" s="20"/>
      <c r="J31" s="21">
        <f>J29/12</f>
        <v>8085.4137499999997</v>
      </c>
    </row>
    <row r="33" spans="1:10" ht="15.75" thickBot="1"/>
    <row r="34" spans="1:10" ht="15.75" thickBot="1">
      <c r="A34" s="11" t="s">
        <v>53</v>
      </c>
      <c r="B34" s="12">
        <f>SUM(C29+G29)</f>
        <v>211690.5</v>
      </c>
      <c r="J34" s="3"/>
    </row>
    <row r="35" spans="1:10" ht="15.75" thickBot="1">
      <c r="A35" s="11" t="s">
        <v>55</v>
      </c>
      <c r="B35" s="12">
        <f>B34/12</f>
        <v>17640.875</v>
      </c>
      <c r="D35" s="3"/>
    </row>
    <row r="37" spans="1:10">
      <c r="D3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A11" sqref="A11"/>
    </sheetView>
  </sheetViews>
  <sheetFormatPr baseColWidth="10" defaultRowHeight="15"/>
  <sheetData>
    <row r="1" spans="1:5">
      <c r="A1" s="1" t="s">
        <v>54</v>
      </c>
    </row>
    <row r="5" spans="1:5">
      <c r="C5">
        <v>648</v>
      </c>
      <c r="D5">
        <v>14.16</v>
      </c>
      <c r="E5">
        <f>C5*D5</f>
        <v>9175.68</v>
      </c>
    </row>
    <row r="7" spans="1:5">
      <c r="C7">
        <v>6250</v>
      </c>
      <c r="D7">
        <v>8.4131999999999998</v>
      </c>
      <c r="E7">
        <f>C7*D7</f>
        <v>52582.5</v>
      </c>
    </row>
    <row r="8" spans="1:5">
      <c r="C8">
        <v>1080</v>
      </c>
      <c r="D8">
        <v>8.4131999999999998</v>
      </c>
      <c r="E8">
        <f>C8*D8</f>
        <v>9086.2559999999994</v>
      </c>
    </row>
    <row r="9" spans="1:5">
      <c r="E9">
        <f>SUM(E5:E8)</f>
        <v>70844.436000000002</v>
      </c>
    </row>
    <row r="11" spans="1:5">
      <c r="E11">
        <f>E9/(C5+C7+C8)</f>
        <v>8.8799744296816243</v>
      </c>
    </row>
    <row r="14" spans="1:5">
      <c r="C14">
        <f>10*(108*24)</f>
        <v>25920</v>
      </c>
      <c r="D14">
        <v>0.35054999999999997</v>
      </c>
      <c r="E14">
        <f>C14*D14</f>
        <v>9086.2559999999994</v>
      </c>
    </row>
    <row r="17" spans="2:4">
      <c r="B17" s="1">
        <v>8.8800000000000008</v>
      </c>
      <c r="D17">
        <f>B17/24</f>
        <v>0.37000000000000005</v>
      </c>
    </row>
    <row r="18" spans="2:4">
      <c r="B18">
        <f>D18*6</f>
        <v>6.3984000000000005</v>
      </c>
      <c r="D18">
        <v>1.0664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 2016</vt:lpstr>
      <vt:lpstr>Rentrées 2016</vt:lpstr>
      <vt:lpstr>Calculs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2015-11-30T13:53:55Z</dcterms:created>
  <dcterms:modified xsi:type="dcterms:W3CDTF">2015-12-01T16:58:08Z</dcterms:modified>
</cp:coreProperties>
</file>