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ales\"/>
    </mc:Choice>
  </mc:AlternateContent>
  <xr:revisionPtr revIDLastSave="0" documentId="13_ncr:1_{9CF8B95D-36B3-4539-8F61-4B27FA8E8D48}" xr6:coauthVersionLast="47" xr6:coauthVersionMax="47" xr10:uidLastSave="{00000000-0000-0000-0000-000000000000}"/>
  <bookViews>
    <workbookView xWindow="-120" yWindow="-120" windowWidth="29040" windowHeight="15840" xr2:uid="{A37E79A5-B98B-440E-8C19-3DBFD29FDEEC}"/>
  </bookViews>
  <sheets>
    <sheet name="MàJ 26_04_2024" sheetId="4" r:id="rId1"/>
    <sheet name="Feuil1" sheetId="3" r:id="rId2"/>
  </sheets>
  <definedNames>
    <definedName name="_xlnm.Print_Area" localSheetId="0">'MàJ 26_04_2024'!$A$1:$J$72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4" l="1"/>
  <c r="I30" i="4"/>
  <c r="J29" i="4"/>
  <c r="H29" i="4"/>
  <c r="I29" i="4"/>
  <c r="J28" i="4"/>
  <c r="H28" i="4"/>
  <c r="I28" i="4"/>
  <c r="J27" i="4"/>
  <c r="H27" i="4"/>
  <c r="I27" i="4"/>
  <c r="J26" i="4"/>
  <c r="H26" i="4"/>
  <c r="I26" i="4"/>
  <c r="J68" i="4"/>
  <c r="H68" i="4"/>
  <c r="I68" i="4"/>
  <c r="J25" i="4"/>
  <c r="H25" i="4"/>
  <c r="I25" i="4"/>
  <c r="J18" i="4"/>
  <c r="H18" i="4"/>
  <c r="I18" i="4"/>
  <c r="J15" i="4"/>
  <c r="H15" i="4"/>
  <c r="I15" i="4"/>
  <c r="J11" i="4"/>
  <c r="H11" i="4"/>
  <c r="I11" i="4"/>
  <c r="J24" i="4"/>
  <c r="H24" i="4"/>
  <c r="I24" i="4"/>
  <c r="J23" i="4"/>
  <c r="H23" i="4"/>
  <c r="I23" i="4"/>
  <c r="J22" i="4"/>
  <c r="H22" i="4"/>
  <c r="I22" i="4"/>
  <c r="J21" i="4"/>
  <c r="I21" i="4"/>
  <c r="H21" i="4"/>
  <c r="J20" i="4"/>
  <c r="H20" i="4"/>
  <c r="I20" i="4"/>
  <c r="J14" i="4"/>
  <c r="J16" i="4"/>
  <c r="J17" i="4"/>
  <c r="J19" i="4"/>
  <c r="H19" i="4"/>
  <c r="I19" i="4"/>
  <c r="H16" i="4"/>
  <c r="H17" i="4"/>
  <c r="H31" i="4"/>
  <c r="H32" i="4"/>
  <c r="I17" i="4"/>
  <c r="I16" i="4"/>
  <c r="H14" i="4"/>
  <c r="I14" i="4"/>
  <c r="J13" i="4"/>
  <c r="H13" i="4"/>
  <c r="I13" i="4"/>
  <c r="J12" i="4"/>
  <c r="H12" i="4"/>
  <c r="I12" i="4"/>
  <c r="J10" i="4"/>
  <c r="H10" i="4"/>
  <c r="I10" i="4"/>
  <c r="J9" i="4"/>
  <c r="H9" i="4"/>
  <c r="I9" i="4"/>
  <c r="J8" i="4"/>
  <c r="H8" i="4"/>
  <c r="I8" i="4"/>
  <c r="J7" i="4"/>
  <c r="H7" i="4"/>
  <c r="I7" i="4"/>
  <c r="H72" i="4"/>
  <c r="H71" i="4"/>
  <c r="H70" i="4"/>
  <c r="H69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5" i="4"/>
  <c r="H6" i="4"/>
  <c r="I6" i="4"/>
  <c r="J6" i="4"/>
  <c r="I72" i="4"/>
  <c r="I71" i="4"/>
  <c r="I70" i="4"/>
  <c r="I69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J34" i="4"/>
  <c r="I34" i="4"/>
  <c r="J33" i="4"/>
  <c r="I33" i="4"/>
  <c r="J32" i="4"/>
  <c r="I32" i="4"/>
  <c r="J31" i="4"/>
  <c r="I31" i="4"/>
  <c r="J5" i="4"/>
  <c r="I5" i="4"/>
  <c r="I5" i="3"/>
  <c r="J5" i="3"/>
  <c r="H46" i="3"/>
  <c r="J9" i="3"/>
  <c r="J8" i="3"/>
  <c r="J6" i="3"/>
  <c r="J7" i="3"/>
  <c r="I6" i="3"/>
  <c r="I7" i="3"/>
  <c r="I8" i="3"/>
  <c r="I9" i="3"/>
  <c r="H51" i="3"/>
  <c r="H52" i="3"/>
  <c r="I52" i="3"/>
  <c r="H50" i="3"/>
  <c r="I51" i="3"/>
  <c r="I50" i="3"/>
  <c r="H49" i="3"/>
  <c r="I49" i="3"/>
  <c r="H48" i="3"/>
  <c r="I48" i="3"/>
  <c r="H47" i="3"/>
  <c r="I47" i="3"/>
  <c r="I46" i="3"/>
  <c r="H45" i="3"/>
  <c r="I45" i="3"/>
  <c r="H44" i="3"/>
  <c r="I44" i="3"/>
  <c r="H43" i="3"/>
  <c r="H42" i="3"/>
  <c r="I43" i="3"/>
  <c r="I42" i="3"/>
  <c r="H41" i="3" l="1"/>
  <c r="H40" i="3"/>
  <c r="I41" i="3"/>
  <c r="I40" i="3"/>
  <c r="I26" i="3"/>
  <c r="H26" i="3"/>
  <c r="I20" i="3"/>
  <c r="H20" i="3"/>
  <c r="I17" i="3"/>
  <c r="H17" i="3"/>
  <c r="I16" i="3"/>
  <c r="H16" i="3"/>
  <c r="I39" i="3"/>
  <c r="H39" i="3"/>
  <c r="H38" i="3"/>
  <c r="H37" i="3"/>
  <c r="H36" i="3"/>
  <c r="H35" i="3"/>
  <c r="I36" i="3"/>
  <c r="I37" i="3"/>
  <c r="I38" i="3"/>
  <c r="I35" i="3"/>
  <c r="I10" i="3" l="1"/>
  <c r="I11" i="3"/>
  <c r="I12" i="3"/>
  <c r="I13" i="3"/>
  <c r="I14" i="3"/>
  <c r="I15" i="3"/>
  <c r="I18" i="3"/>
  <c r="I19" i="3"/>
  <c r="I21" i="3"/>
  <c r="I22" i="3"/>
  <c r="I23" i="3"/>
  <c r="I24" i="3"/>
  <c r="I25" i="3"/>
  <c r="I27" i="3"/>
  <c r="I28" i="3"/>
  <c r="I29" i="3"/>
  <c r="I30" i="3"/>
  <c r="I31" i="3"/>
  <c r="I32" i="3"/>
  <c r="I33" i="3"/>
  <c r="I34" i="3"/>
  <c r="H34" i="3" l="1"/>
  <c r="H33" i="3"/>
  <c r="H32" i="3"/>
  <c r="H31" i="3"/>
  <c r="H29" i="3" l="1"/>
  <c r="H30" i="3"/>
  <c r="H28" i="3"/>
  <c r="H13" i="3"/>
  <c r="H24" i="3"/>
  <c r="H25" i="3"/>
  <c r="H22" i="3"/>
  <c r="H21" i="3"/>
  <c r="H14" i="3"/>
  <c r="H11" i="3"/>
  <c r="H10" i="3"/>
  <c r="H12" i="3"/>
  <c r="H23" i="3"/>
  <c r="H15" i="3"/>
  <c r="H18" i="3"/>
  <c r="H19" i="3"/>
  <c r="H27" i="3"/>
</calcChain>
</file>

<file path=xl/sharedStrings.xml><?xml version="1.0" encoding="utf-8"?>
<sst xmlns="http://schemas.openxmlformats.org/spreadsheetml/2006/main" count="274" uniqueCount="145">
  <si>
    <t>Chaise visiteur SAMA</t>
  </si>
  <si>
    <t>SAMA</t>
  </si>
  <si>
    <t>Réf.</t>
  </si>
  <si>
    <t>Nom</t>
  </si>
  <si>
    <t>Prix 
brut HT</t>
  </si>
  <si>
    <t>Rabais</t>
  </si>
  <si>
    <t>Prix 
action HT</t>
  </si>
  <si>
    <t>Chaise de bureau ANDREA</t>
  </si>
  <si>
    <t>AEROL</t>
  </si>
  <si>
    <t>LISA</t>
  </si>
  <si>
    <t>Chaise visiteur LISA</t>
  </si>
  <si>
    <t>SARA</t>
  </si>
  <si>
    <t>Chaise pliante SARA</t>
  </si>
  <si>
    <t>Début action</t>
  </si>
  <si>
    <t>Fin action</t>
  </si>
  <si>
    <t>Micro-ondes</t>
  </si>
  <si>
    <t>019075</t>
  </si>
  <si>
    <t>Casier Multicases</t>
  </si>
  <si>
    <t>6014110</t>
  </si>
  <si>
    <t>1529595101</t>
  </si>
  <si>
    <t>SIENA</t>
  </si>
  <si>
    <t>Climatiseur mobile 9000 BTU</t>
  </si>
  <si>
    <t>VMM20XPAD</t>
  </si>
  <si>
    <t>Réfrigérateur VS-335L</t>
  </si>
  <si>
    <t>VS-335L</t>
  </si>
  <si>
    <t>VS-135L</t>
  </si>
  <si>
    <t>Réfrigérateur VS-135L</t>
  </si>
  <si>
    <t>Châssis pour table électrique</t>
  </si>
  <si>
    <t>ET114E-N</t>
  </si>
  <si>
    <t>Micro-Onde avec Grill 20L</t>
  </si>
  <si>
    <t>Chaise visiteur BARBARA</t>
  </si>
  <si>
    <t>Micro-Ondes 20 Litres</t>
  </si>
  <si>
    <t>100003</t>
  </si>
  <si>
    <t>Table pliante 220 AUSTRIA</t>
  </si>
  <si>
    <t>78707-T</t>
  </si>
  <si>
    <t>78707-2B</t>
  </si>
  <si>
    <t>Banc pliable VIENNA (pour table AUSTRIA)</t>
  </si>
  <si>
    <t>VA016B-09KR</t>
  </si>
  <si>
    <t>Réfrigérateur VS-105</t>
  </si>
  <si>
    <t>VD318</t>
  </si>
  <si>
    <t>VS105</t>
  </si>
  <si>
    <t>Réfrigérateur VD-318</t>
  </si>
  <si>
    <t>434</t>
  </si>
  <si>
    <t>JES</t>
  </si>
  <si>
    <t>NINA</t>
  </si>
  <si>
    <t>Fauteuil NINA</t>
  </si>
  <si>
    <t>DNA122W</t>
  </si>
  <si>
    <t>Table de burau avec piétement en bois</t>
  </si>
  <si>
    <t>SWA340-SZZ110E</t>
  </si>
  <si>
    <t>Chaise pivotante WIND</t>
  </si>
  <si>
    <t>ANDREA</t>
  </si>
  <si>
    <t>Chaise pivotante ANDREA</t>
  </si>
  <si>
    <t>Remarques</t>
  </si>
  <si>
    <t>Délai 4-5 sem.</t>
  </si>
  <si>
    <t>Status</t>
  </si>
  <si>
    <t>Table électrique 600-1250x1200x800mm</t>
  </si>
  <si>
    <t>ET223+100011</t>
  </si>
  <si>
    <t>ET223+100012</t>
  </si>
  <si>
    <t>Table électrique 600-1250x1400x800mm</t>
  </si>
  <si>
    <t>Table électrique 600-1250x1600x800mm</t>
  </si>
  <si>
    <t>ET223+100013</t>
  </si>
  <si>
    <t>ET223+100014</t>
  </si>
  <si>
    <t>Table électrique 600-1250x1800x800mm</t>
  </si>
  <si>
    <t>Table électrique 600-1250x2000x800mm</t>
  </si>
  <si>
    <t>ET223+100015</t>
  </si>
  <si>
    <t>finit 31.01.2021</t>
  </si>
  <si>
    <t xml:space="preserve">finit 31.01.2021 </t>
  </si>
  <si>
    <t>MKV 1118/1 L</t>
  </si>
  <si>
    <t>Cuisinette Bauknecht MKV 1118 gauche</t>
  </si>
  <si>
    <t>Cuisinette Bauknecht MKV 1118 droite</t>
  </si>
  <si>
    <t>Fauteuil Giroflex 434 noir</t>
  </si>
  <si>
    <t>MKV 1118/1 R</t>
  </si>
  <si>
    <t>DOMINO160</t>
  </si>
  <si>
    <t>Table pliante piétement en T 750x1600x800mm</t>
  </si>
  <si>
    <t>DOMINO180</t>
  </si>
  <si>
    <t>Table pliante piétement en T 750x1800x800mm</t>
  </si>
  <si>
    <t>353-4029</t>
  </si>
  <si>
    <t>Chaise pivotante - GIROFLEX 353</t>
  </si>
  <si>
    <t>78707-T-2B</t>
  </si>
  <si>
    <t>DJT100-DJP121</t>
  </si>
  <si>
    <t>Table électrique 680-1150x1200x800mm</t>
  </si>
  <si>
    <t>DJT100-DJP161</t>
  </si>
  <si>
    <t>Table électrique 680-1150x1600x800mm</t>
  </si>
  <si>
    <t>Table pliante et 2 bancs pliants (MUNICH)</t>
  </si>
  <si>
    <t>DJT100</t>
  </si>
  <si>
    <t xml:space="preserve">Châssis pour table électrique </t>
  </si>
  <si>
    <t>Rack de stockage - base</t>
  </si>
  <si>
    <t>Rack à palettes - base</t>
  </si>
  <si>
    <t>Rack à palettes - extension</t>
  </si>
  <si>
    <t>Rack de stockage - extension</t>
  </si>
  <si>
    <t>Mettre à jour selon action du moment</t>
  </si>
  <si>
    <t>LEGENDE
JES= Jusqu'à épuisement du stock</t>
  </si>
  <si>
    <t>DNA160UM1M</t>
  </si>
  <si>
    <t>DNA180UM1M</t>
  </si>
  <si>
    <t>Table de bureau 4 pieds</t>
  </si>
  <si>
    <t xml:space="preserve">Table de bureau 4 pieds </t>
  </si>
  <si>
    <t xml:space="preserve">DZT146-I-DZP168-M1M </t>
  </si>
  <si>
    <t>Table de bureau pieds en T</t>
  </si>
  <si>
    <t xml:space="preserve">DZT146-I-DZP188-M1M </t>
  </si>
  <si>
    <t>lien web</t>
  </si>
  <si>
    <t>Vestiaire 4 cases 1800x600x500mm</t>
  </si>
  <si>
    <t>Porte-manteaux / porte-parapluies EIFFEL</t>
  </si>
  <si>
    <t>VD-318RW</t>
  </si>
  <si>
    <t>Réfrigérateur VD-318RW</t>
  </si>
  <si>
    <t>434-3019-C2G</t>
  </si>
  <si>
    <t>lien</t>
  </si>
  <si>
    <t>DJT100-EG-CH</t>
  </si>
  <si>
    <t>Cuisine compacte évier à gauche</t>
  </si>
  <si>
    <t>KZ1000100WSW</t>
  </si>
  <si>
    <t>Table pliante et 2 bancs pliants</t>
  </si>
  <si>
    <t>GARTEN2</t>
  </si>
  <si>
    <t>40-4049-NOIR</t>
  </si>
  <si>
    <t>Chaise pivotante - GIROFLEX 40-4049</t>
  </si>
  <si>
    <t>Banc pliant 400x2200x300mm</t>
  </si>
  <si>
    <t>Armoire penderie 1950x920x420mm</t>
  </si>
  <si>
    <t>Table ronde 750x1200mm</t>
  </si>
  <si>
    <t>Table ronde 750x1000mm</t>
  </si>
  <si>
    <t>Plateau mélaminé 25x1200x800mm</t>
  </si>
  <si>
    <t>Plateau mélaminé 25x2000x800mm</t>
  </si>
  <si>
    <t>Plateau mélaminé 25x2000x1000mm</t>
  </si>
  <si>
    <t>100013-W</t>
  </si>
  <si>
    <t xml:space="preserve">Plateau mélaminé 25x1600x800mm </t>
  </si>
  <si>
    <t>Banc pour vestiaire 400x1000x400mm</t>
  </si>
  <si>
    <t>Armoire portes battantes 1950x1200x420mm</t>
  </si>
  <si>
    <t>Bibliothèque 1200x920x420mm</t>
  </si>
  <si>
    <t>Armoire à portes battantes 1200x920x420mm</t>
  </si>
  <si>
    <t>Armoire à portes battantes 1000x800x380mm</t>
  </si>
  <si>
    <t>Table de réunion ronde 720x1200mm</t>
  </si>
  <si>
    <t>CZM120M1M</t>
  </si>
  <si>
    <t>Plateau en mélaminé 25x1400x800mm</t>
  </si>
  <si>
    <t>DJP141-M1</t>
  </si>
  <si>
    <t>Plateau en mélaminé 25x1600x800mm</t>
  </si>
  <si>
    <t>DJP161-M1</t>
  </si>
  <si>
    <t>Etagère métallique pour charges lourdes 1800x900x450mm</t>
  </si>
  <si>
    <t>HERCULES</t>
  </si>
  <si>
    <t>Porte-manteaux / porte-parapluies</t>
  </si>
  <si>
    <t>EIFFEL</t>
  </si>
  <si>
    <t>Porte-manteaux mural 72x2000x21mm</t>
  </si>
  <si>
    <t>LI-BO-200-PU</t>
  </si>
  <si>
    <t>Chaise pivotante PAOLA3</t>
  </si>
  <si>
    <t>PAOLA3</t>
  </si>
  <si>
    <t>SARA2</t>
  </si>
  <si>
    <t>ZURICH</t>
  </si>
  <si>
    <t>Tabouret ZURICH</t>
  </si>
  <si>
    <t>MK9000 climatiseur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</si>
</sst>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F4F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0" fillId="0" borderId="0" xfId="0" applyBorder="1"/>
    <xf numFmtId="2" fontId="0" fillId="0" borderId="0" xfId="0" applyNumberFormat="1"/>
    <xf numFmtId="2" fontId="2" fillId="0" borderId="0" xfId="0" applyNumberFormat="1" applyFont="1"/>
    <xf numFmtId="1" fontId="0" fillId="0" borderId="0" xfId="0" applyNumberFormat="1"/>
    <xf numFmtId="9" fontId="0" fillId="0" borderId="0" xfId="1" applyNumberFormat="1" applyFont="1" applyFill="1" applyAlignment="1">
      <alignment horizontal="right"/>
    </xf>
    <xf numFmtId="9" fontId="0" fillId="0" borderId="0" xfId="1" applyNumberFormat="1" applyFont="1" applyFill="1" applyBorder="1" applyAlignment="1">
      <alignment horizontal="right"/>
    </xf>
    <xf numFmtId="2" fontId="2" fillId="0" borderId="0" xfId="0" applyNumberFormat="1" applyFont="1" applyBorder="1"/>
    <xf numFmtId="14" fontId="0" fillId="0" borderId="0" xfId="0" applyNumberFormat="1"/>
    <xf numFmtId="14" fontId="2" fillId="0" borderId="0" xfId="0" applyNumberFormat="1" applyFont="1"/>
    <xf numFmtId="1" fontId="2" fillId="0" borderId="0" xfId="0" applyNumberFormat="1" applyFont="1"/>
    <xf numFmtId="2" fontId="0" fillId="0" borderId="0" xfId="0" applyNumberFormat="1" applyBorder="1"/>
    <xf numFmtId="14" fontId="0" fillId="0" borderId="0" xfId="0" applyNumberFormat="1" applyAlignment="1">
      <alignment horizontal="left"/>
    </xf>
    <xf numFmtId="14" fontId="0" fillId="0" borderId="0" xfId="0" applyNumberFormat="1" applyBorder="1" applyAlignment="1">
      <alignment horizontal="lef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0" borderId="0" xfId="0" applyNumberFormat="1"/>
    <xf numFmtId="0" fontId="0" fillId="0" borderId="0" xfId="0" applyNumberFormat="1" applyBorder="1"/>
    <xf numFmtId="2" fontId="0" fillId="0" borderId="0" xfId="0" applyNumberFormat="1" applyAlignment="1">
      <alignment horizontal="right"/>
    </xf>
    <xf numFmtId="9" fontId="0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14" fontId="0" fillId="2" borderId="0" xfId="0" applyNumberFormat="1" applyFill="1" applyAlignment="1">
      <alignment horizontal="right" vertical="center" wrapText="1"/>
    </xf>
    <xf numFmtId="0" fontId="3" fillId="3" borderId="2" xfId="2" applyFill="1" applyBorder="1" applyAlignment="1">
      <alignment vertical="center"/>
    </xf>
    <xf numFmtId="0" fontId="3" fillId="0" borderId="0" xfId="2"/>
    <xf numFmtId="0" fontId="3" fillId="0" borderId="0" xfId="2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2" applyNumberFormat="1"/>
    <xf numFmtId="1" fontId="0" fillId="0" borderId="0" xfId="0" applyNumberFormat="1" applyBorder="1"/>
    <xf numFmtId="1" fontId="2" fillId="0" borderId="0" xfId="0" applyNumberFormat="1" applyFont="1" applyBorder="1"/>
    <xf numFmtId="0" fontId="0" fillId="0" borderId="0" xfId="0" applyFill="1" applyAlignment="1">
      <alignment horizontal="left" vertical="center"/>
    </xf>
    <xf numFmtId="0" fontId="0" fillId="0" borderId="0" xfId="0" applyFill="1"/>
    <xf numFmtId="2" fontId="0" fillId="0" borderId="0" xfId="0" applyNumberFormat="1" applyFill="1"/>
    <xf numFmtId="0" fontId="0" fillId="0" borderId="0" xfId="0" applyFill="1" applyBorder="1"/>
    <xf numFmtId="2" fontId="0" fillId="0" borderId="0" xfId="0" applyNumberFormat="1" applyFill="1" applyAlignment="1">
      <alignment horizontal="right"/>
    </xf>
    <xf numFmtId="2" fontId="0" fillId="0" borderId="0" xfId="0" applyNumberFormat="1" applyFill="1" applyBorder="1"/>
    <xf numFmtId="14" fontId="0" fillId="0" borderId="0" xfId="0" applyNumberFormat="1" applyFont="1" applyAlignment="1">
      <alignment horizontal="left" vertical="center" wrapText="1"/>
    </xf>
  </cellXfs>
  <cellStyles count="3">
    <cellStyle name="Lien hypertexte" xfId="2" builtinId="8"/>
    <cellStyle name="Normal" xfId="0" builtinId="0"/>
    <cellStyle name="Pourcentage" xfId="1" builtinId="5"/>
  </cellStyles>
  <dxfs count="19"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numFmt numFmtId="19" formatCode="dd/mm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B778CF-EBB4-4E30-ACCD-D755FD8F383D}" name="Tableau32" displayName="Tableau32" ref="A4:J72" totalsRowShown="0" headerRowDxfId="7">
  <autoFilter ref="A4:J72" xr:uid="{5FB778CF-EBB4-4E30-ACCD-D755FD8F383D}">
    <filterColumn colId="8">
      <filters>
        <filter val="ACTUEL"/>
      </filters>
    </filterColumn>
  </autoFilter>
  <sortState xmlns:xlrd2="http://schemas.microsoft.com/office/spreadsheetml/2017/richdata2" ref="A5:H56">
    <sortCondition ref="A4:A56"/>
  </sortState>
  <tableColumns count="10">
    <tableColumn id="1" xr3:uid="{37F67436-7A3E-404D-8C67-34DC14BFEC1A}" name="Début action" dataDxfId="6"/>
    <tableColumn id="2" xr3:uid="{9B151435-EB98-4113-9801-B6DBFF56D3B7}" name="Fin action" dataDxfId="5"/>
    <tableColumn id="9" xr3:uid="{6369CF14-6F4C-4D7C-9802-74F894CC836C}" name="Remarques" dataDxfId="4"/>
    <tableColumn id="3" xr3:uid="{71528292-5D9C-449A-A4EE-351C4F66057E}" name="Réf."/>
    <tableColumn id="5" xr3:uid="{3C17AD70-83D6-4DE4-B445-FC80D53AE426}" name="Nom"/>
    <tableColumn id="6" xr3:uid="{3460E223-1094-4860-A92C-D68A1FB876EF}" name="Prix _x000a_brut HT"/>
    <tableColumn id="7" xr3:uid="{FB2B97E4-0E9A-4598-B6BB-FEBC6F2189E0}" name="Rabais" dataDxfId="3" dataCellStyle="Pourcentage"/>
    <tableColumn id="8" xr3:uid="{6F3ADB4D-A17B-48A6-B101-77093392E4E2}" name="Prix _x000a_action HT" dataDxfId="2"/>
    <tableColumn id="4" xr3:uid="{BBA886BB-DF6E-4845-8948-C68F70F67C53}" name="Status" dataDxfId="1">
      <calculatedColumnFormula>IF(Tableau32[[#This Row],[Fin action]]="JES","ACTUEL",IF(Tableau32[[#This Row],[Fin action]]&gt;0,"FIN","ACTUEL"))</calculatedColumnFormula>
    </tableColumn>
    <tableColumn id="11" xr3:uid="{7F932F86-31A2-488F-90AF-A791C7E06FDE}" name="lien web" dataDxfId="0">
      <calculatedColumnFormula>HYPERLINK("https://www.promerka.com/fr/tables-de-bureaux/669-table-de-bureau-pieds-en-t-740x1600x800mm.html", "lien")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09D9F5-24A6-46C6-945B-F334A61C39C8}" name="Tableau3" displayName="Tableau3" ref="A4:J52" totalsRowShown="0" headerRowDxfId="16">
  <autoFilter ref="A4:J52" xr:uid="{857417A7-BED7-43C1-ACA4-4FF9961EF12A}">
    <filterColumn colId="8">
      <filters>
        <filter val="ACTUEL"/>
      </filters>
    </filterColumn>
  </autoFilter>
  <sortState xmlns:xlrd2="http://schemas.microsoft.com/office/spreadsheetml/2017/richdata2" ref="A5:H32">
    <sortCondition ref="A4:A32"/>
  </sortState>
  <tableColumns count="10">
    <tableColumn id="1" xr3:uid="{B6CD9CE2-855E-4C54-8D89-66DDBE7B289A}" name="Début action" dataDxfId="15"/>
    <tableColumn id="2" xr3:uid="{F036A2C9-2BDB-41B9-8C86-CBA181880143}" name="Fin action" dataDxfId="14"/>
    <tableColumn id="9" xr3:uid="{F8131793-A8BA-4A28-B09C-7EBFCCF8CBD0}" name="Remarques" dataDxfId="13"/>
    <tableColumn id="3" xr3:uid="{149CB71C-59B0-44AB-8F35-6713118F801A}" name="Réf."/>
    <tableColumn id="5" xr3:uid="{80B0E501-776B-4ED4-9620-61F0590F194D}" name="Nom"/>
    <tableColumn id="6" xr3:uid="{FDD81FC2-0FB8-4A10-B136-DA1A753BE48F}" name="Prix _x000a_brut HT"/>
    <tableColumn id="7" xr3:uid="{95D43485-02B5-46DD-ACAD-E5723FFE4F45}" name="Rabais" dataDxfId="12" dataCellStyle="Pourcentage"/>
    <tableColumn id="8" xr3:uid="{AA0114E7-844E-4E7B-84B5-6BA4C670A0E2}" name="Prix _x000a_action HT" dataDxfId="11"/>
    <tableColumn id="4" xr3:uid="{621F25EC-1B9E-4A03-988D-031B75ED64C0}" name="Status" dataDxfId="10">
      <calculatedColumnFormula>IF(Tableau3[[#This Row],[Fin action]]="JES","ACTUEL",IF(Tableau3[[#This Row],[Fin action]]&gt;0,"FIN","ACTUEL"))</calculatedColumnFormula>
    </tableColumn>
    <tableColumn id="11" xr3:uid="{001DDC5E-5380-42ED-9456-3775E802A6DA}" name="lien web" dataDxfId="9">
      <calculatedColumnFormula>HYPERLINK("https://www.promerka.com/fr/tables-de-bureaux/669-table-de-bureau-pieds-en-t-740x1600x800mm.html", "lien")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omerka.com/fr/tables-de-bureaux-assis-debout/869-table-electrique-680-1150x1200x800mm.html" TargetMode="External"/><Relationship Id="rId1" Type="http://schemas.openxmlformats.org/officeDocument/2006/relationships/hyperlink" Target="https://www.promerka.com/fr/sieges-de-travail/827-chaise-pivotante-giroflex-353-4029.html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9804-F8E9-4017-B418-F19951C572FA}">
  <sheetPr>
    <tabColor rgb="FF92D050"/>
    <pageSetUpPr fitToPage="1"/>
  </sheetPr>
  <dimension ref="A2:K74"/>
  <sheetViews>
    <sheetView tabSelected="1"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D18" sqref="D18"/>
    </sheetView>
  </sheetViews>
  <sheetFormatPr baseColWidth="10" defaultRowHeight="15" x14ac:dyDescent="0.25"/>
  <cols>
    <col min="1" max="1" width="15.42578125" style="16" customWidth="1"/>
    <col min="2" max="2" width="10.140625" style="16" bestFit="1" customWidth="1"/>
    <col min="3" max="3" width="17.42578125" style="9" customWidth="1"/>
    <col min="4" max="4" width="21.28515625" bestFit="1" customWidth="1"/>
    <col min="5" max="5" width="43.7109375" bestFit="1" customWidth="1"/>
    <col min="6" max="6" width="14.7109375" bestFit="1" customWidth="1"/>
    <col min="7" max="7" width="12.7109375" style="30" customWidth="1"/>
    <col min="8" max="8" width="16.42578125" style="4" bestFit="1" customWidth="1"/>
    <col min="9" max="9" width="16.5703125" customWidth="1"/>
  </cols>
  <sheetData>
    <row r="2" spans="1:11" ht="57.6" customHeight="1" x14ac:dyDescent="0.25">
      <c r="A2" s="24" t="s">
        <v>90</v>
      </c>
      <c r="C2" s="38" t="s">
        <v>91</v>
      </c>
      <c r="D2" s="38"/>
    </row>
    <row r="4" spans="1:11" s="1" customFormat="1" ht="37.15" customHeight="1" x14ac:dyDescent="0.25">
      <c r="A4" s="15" t="s">
        <v>13</v>
      </c>
      <c r="B4" s="15" t="s">
        <v>14</v>
      </c>
      <c r="C4" s="10" t="s">
        <v>52</v>
      </c>
      <c r="D4" s="1" t="s">
        <v>2</v>
      </c>
      <c r="E4" s="1" t="s">
        <v>3</v>
      </c>
      <c r="F4" s="1" t="s">
        <v>4</v>
      </c>
      <c r="G4" s="31" t="s">
        <v>5</v>
      </c>
      <c r="H4" s="4" t="s">
        <v>6</v>
      </c>
      <c r="I4" t="s">
        <v>54</v>
      </c>
      <c r="J4" s="1" t="s">
        <v>99</v>
      </c>
      <c r="K4"/>
    </row>
    <row r="5" spans="1:11" x14ac:dyDescent="0.25">
      <c r="A5" s="16">
        <v>45336</v>
      </c>
      <c r="B5" s="16" t="s">
        <v>43</v>
      </c>
      <c r="D5" s="32">
        <v>6012340</v>
      </c>
      <c r="E5" s="33" t="s">
        <v>100</v>
      </c>
      <c r="F5" s="34">
        <v>309.3</v>
      </c>
      <c r="G5" s="7">
        <v>0.25</v>
      </c>
      <c r="H5" s="4">
        <f t="shared" ref="H5" si="0">F5*(1-G5)</f>
        <v>231.97500000000002</v>
      </c>
      <c r="I5" t="str">
        <f>IF(Tableau32[[#This Row],[Fin action]]="JES","ACTUEL",IF(Tableau32[[#This Row],[Fin action]]&gt;0,"FIN","ACTUEL"))</f>
        <v>ACTUEL</v>
      </c>
      <c r="J5" s="26" t="str">
        <f>HYPERLINK("https://www.promerka.com/fr/tables-de-bureaux/669-table-de-bureau-pieds-en-t-740x1600x800mm.html", "lien")</f>
        <v>lien</v>
      </c>
    </row>
    <row r="6" spans="1:11" x14ac:dyDescent="0.25">
      <c r="B6" s="16" t="s">
        <v>43</v>
      </c>
      <c r="C6" s="13"/>
      <c r="D6" s="32" t="s">
        <v>108</v>
      </c>
      <c r="E6" s="33" t="s">
        <v>107</v>
      </c>
      <c r="F6" s="34">
        <v>1442.7</v>
      </c>
      <c r="G6" s="7">
        <v>0.5</v>
      </c>
      <c r="H6" s="4">
        <f t="shared" ref="H6:H15" si="1">F6*(1-G6)</f>
        <v>721.35</v>
      </c>
      <c r="I6" s="18" t="str">
        <f>IF(Tableau32[[#This Row],[Fin action]]="JES","ACTUEL",IF(Tableau32[[#This Row],[Fin action]]&gt;0,"FIN","ACTUEL"))</f>
        <v>ACTUEL</v>
      </c>
      <c r="J6" s="29" t="str">
        <f>HYPERLINK("https://www.promerka.com/fr/tables-de-bureaux/669-table-de-bureau-pieds-en-t-740x1600x800mm.html", "lien")</f>
        <v>lien</v>
      </c>
    </row>
    <row r="7" spans="1:11" x14ac:dyDescent="0.25">
      <c r="B7" s="16" t="s">
        <v>43</v>
      </c>
      <c r="C7" s="13"/>
      <c r="D7" s="32" t="s">
        <v>110</v>
      </c>
      <c r="E7" s="33" t="s">
        <v>109</v>
      </c>
      <c r="F7" s="34">
        <v>239.6</v>
      </c>
      <c r="G7" s="7">
        <v>0.25</v>
      </c>
      <c r="H7" s="4">
        <f t="shared" si="1"/>
        <v>179.7</v>
      </c>
      <c r="I7" s="18" t="str">
        <f>IF(Tableau32[[#This Row],[Fin action]]="JES","ACTUEL",IF(Tableau32[[#This Row],[Fin action]]&gt;0,"FIN","ACTUEL"))</f>
        <v>ACTUEL</v>
      </c>
      <c r="J7" s="29" t="str">
        <f>HYPERLINK("https://www.promerka.com/fr/tables-pliantes/908-table-pliante-et-2-bancs-pliants-740x2200x800mm.html", "lien")</f>
        <v>lien</v>
      </c>
    </row>
    <row r="8" spans="1:11" x14ac:dyDescent="0.25">
      <c r="B8" s="16" t="s">
        <v>43</v>
      </c>
      <c r="C8" s="13"/>
      <c r="D8" s="32" t="s">
        <v>111</v>
      </c>
      <c r="E8" s="33" t="s">
        <v>112</v>
      </c>
      <c r="F8" s="34">
        <v>1067</v>
      </c>
      <c r="G8" s="7">
        <v>0.25</v>
      </c>
      <c r="H8" s="4">
        <f t="shared" si="1"/>
        <v>800.25</v>
      </c>
      <c r="I8" s="18" t="str">
        <f>IF(Tableau32[[#This Row],[Fin action]]="JES","ACTUEL",IF(Tableau32[[#This Row],[Fin action]]&gt;0,"FIN","ACTUEL"))</f>
        <v>ACTUEL</v>
      </c>
      <c r="J8" s="29" t="str">
        <f>HYPERLINK("https://www.promerka.com/fr/sieges-de-travail/929-chaise-pivotante-giroflex-40-4049.html", "lien")</f>
        <v>lien</v>
      </c>
    </row>
    <row r="9" spans="1:11" x14ac:dyDescent="0.25">
      <c r="C9" s="13"/>
      <c r="D9" s="32" t="s">
        <v>35</v>
      </c>
      <c r="E9" s="33" t="s">
        <v>113</v>
      </c>
      <c r="F9" s="34">
        <v>40.9</v>
      </c>
      <c r="G9" s="7">
        <v>0.75</v>
      </c>
      <c r="H9" s="4">
        <f t="shared" si="1"/>
        <v>10.225</v>
      </c>
      <c r="I9" s="18" t="str">
        <f>IF(Tableau32[[#This Row],[Fin action]]="JES","ACTUEL",IF(Tableau32[[#This Row],[Fin action]]&gt;0,"FIN","ACTUEL"))</f>
        <v>ACTUEL</v>
      </c>
      <c r="J9" s="29" t="str">
        <f>HYPERLINK("https://www.promerka.com/fr/tables-pliantes/816-banc-pliant-400x2200x300mm.htmll", "lien")</f>
        <v>lien</v>
      </c>
    </row>
    <row r="10" spans="1:11" x14ac:dyDescent="0.25">
      <c r="C10" s="13"/>
      <c r="D10" s="32">
        <v>6015100</v>
      </c>
      <c r="E10" s="33" t="s">
        <v>114</v>
      </c>
      <c r="F10" s="34">
        <v>423.2</v>
      </c>
      <c r="G10" s="7">
        <v>0.25</v>
      </c>
      <c r="H10" s="4">
        <f t="shared" si="1"/>
        <v>317.39999999999998</v>
      </c>
      <c r="I10" s="18" t="str">
        <f>IF(Tableau32[[#This Row],[Fin action]]="JES","ACTUEL",IF(Tableau32[[#This Row],[Fin action]]&gt;0,"FIN","ACTUEL"))</f>
        <v>ACTUEL</v>
      </c>
      <c r="J10" s="29" t="str">
        <f>HYPERLINK("https://www.promerka.com/fr/armoires-penderies-casiers/12-armoire-penderie-1950x920x420mm.html", "lien")</f>
        <v>lien</v>
      </c>
    </row>
    <row r="11" spans="1:11" x14ac:dyDescent="0.25">
      <c r="C11" s="13"/>
      <c r="D11" s="32" t="s">
        <v>128</v>
      </c>
      <c r="E11" s="33" t="s">
        <v>127</v>
      </c>
      <c r="F11" s="34">
        <v>177</v>
      </c>
      <c r="G11" s="7">
        <v>0.5</v>
      </c>
      <c r="H11" s="4">
        <f t="shared" si="1"/>
        <v>88.5</v>
      </c>
      <c r="I11" s="18" t="str">
        <f>IF(Tableau32[[#This Row],[Fin action]]="JES","ACTUEL",IF(Tableau32[[#This Row],[Fin action]]&gt;0,"FIN","ACTUEL"))</f>
        <v>ACTUEL</v>
      </c>
      <c r="J11" s="29" t="str">
        <f>HYPERLINK("https://www.promerka.com/fr/tables-de-conference-reunion/330-table-de-reunion-ronde-720x1200mm.html", "lien")</f>
        <v>lien</v>
      </c>
    </row>
    <row r="12" spans="1:11" x14ac:dyDescent="0.25">
      <c r="C12" s="13"/>
      <c r="D12" s="32">
        <v>1.2E-4</v>
      </c>
      <c r="E12" s="33" t="s">
        <v>115</v>
      </c>
      <c r="F12" s="34">
        <v>199.6</v>
      </c>
      <c r="G12" s="7">
        <v>0.5</v>
      </c>
      <c r="H12" s="4">
        <f t="shared" si="1"/>
        <v>99.8</v>
      </c>
      <c r="I12" s="18" t="str">
        <f>IF(Tableau32[[#This Row],[Fin action]]="JES","ACTUEL",IF(Tableau32[[#This Row],[Fin action]]&gt;0,"FIN","ACTUEL"))</f>
        <v>ACTUEL</v>
      </c>
      <c r="J12" s="29" t="str">
        <f>HYPERLINK("https://www.promerka.com/fr/tables-de-conference-reunion/590-table-ronde-750x1200mm.html", "lien")</f>
        <v>lien</v>
      </c>
    </row>
    <row r="13" spans="1:11" x14ac:dyDescent="0.25">
      <c r="C13" s="13"/>
      <c r="D13" s="32">
        <v>1E-4</v>
      </c>
      <c r="E13" s="33" t="s">
        <v>116</v>
      </c>
      <c r="F13" s="34">
        <v>186.3</v>
      </c>
      <c r="G13" s="7">
        <v>0.5</v>
      </c>
      <c r="H13" s="4">
        <f t="shared" si="1"/>
        <v>93.15</v>
      </c>
      <c r="I13" s="18" t="str">
        <f>IF(Tableau32[[#This Row],[Fin action]]="JES","ACTUEL",IF(Tableau32[[#This Row],[Fin action]]&gt;0,"FIN","ACTUEL"))</f>
        <v>ACTUEL</v>
      </c>
      <c r="J13" s="29" t="str">
        <f>HYPERLINK("https://www.promerka.com/fr/tables-de-conference-reunion/819-table-ronde-750x1000mm.html", "lien")</f>
        <v>lien</v>
      </c>
    </row>
    <row r="14" spans="1:11" x14ac:dyDescent="0.25">
      <c r="C14" s="13"/>
      <c r="D14" s="32">
        <v>100011</v>
      </c>
      <c r="E14" s="33" t="s">
        <v>117</v>
      </c>
      <c r="F14" s="34">
        <v>58.6</v>
      </c>
      <c r="G14" s="7">
        <v>0.25</v>
      </c>
      <c r="H14" s="4">
        <f t="shared" si="1"/>
        <v>43.95</v>
      </c>
      <c r="I14" s="18" t="str">
        <f>IF(Tableau32[[#This Row],[Fin action]]="JES","ACTUEL",IF(Tableau32[[#This Row],[Fin action]]&gt;0,"FIN","ACTUEL"))</f>
        <v>ACTUEL</v>
      </c>
      <c r="J14" s="29" t="str">
        <f>HYPERLINK("https://www.promerka.com/fr/tables-de-conference-reunion/819-table-ronde-750x1000mm.html", "lien")</f>
        <v>lien</v>
      </c>
    </row>
    <row r="15" spans="1:11" x14ac:dyDescent="0.25">
      <c r="C15" s="13"/>
      <c r="D15" s="32" t="s">
        <v>130</v>
      </c>
      <c r="E15" s="33" t="s">
        <v>129</v>
      </c>
      <c r="F15" s="34">
        <v>66</v>
      </c>
      <c r="G15" s="7">
        <v>0.25</v>
      </c>
      <c r="H15" s="4">
        <f t="shared" si="1"/>
        <v>49.5</v>
      </c>
      <c r="I15" s="18" t="str">
        <f>IF(Tableau32[[#This Row],[Fin action]]="JES","ACTUEL",IF(Tableau32[[#This Row],[Fin action]]&gt;0,"FIN","ACTUEL"))</f>
        <v>ACTUEL</v>
      </c>
      <c r="J15" s="29" t="str">
        <f>HYPERLINK("https://www.promerka.com/fr/tables-de-bureaux-assis-debout/917-plateau-melamine-20x1400x800mm.html", "lien")</f>
        <v>lien</v>
      </c>
    </row>
    <row r="16" spans="1:11" x14ac:dyDescent="0.25">
      <c r="C16" s="13"/>
      <c r="D16" s="32">
        <v>100015</v>
      </c>
      <c r="E16" s="33" t="s">
        <v>118</v>
      </c>
      <c r="F16" s="34">
        <v>98.5</v>
      </c>
      <c r="G16" s="7">
        <v>0.25</v>
      </c>
      <c r="H16" s="4">
        <f t="shared" ref="H16:H32" si="2">F16*(1-G16)</f>
        <v>73.875</v>
      </c>
      <c r="I16" s="18" t="str">
        <f>IF(Tableau32[[#This Row],[Fin action]]="JES","ACTUEL",IF(Tableau32[[#This Row],[Fin action]]&gt;0,"FIN","ACTUEL"))</f>
        <v>ACTUEL</v>
      </c>
      <c r="J16" s="29" t="str">
        <f>HYPERLINK("https://www.promerka.com/fr/tables-de-bureaux-assis-debout/863-plateau-melamine-20x2000x800mm.html", "lien")</f>
        <v>lien</v>
      </c>
    </row>
    <row r="17" spans="1:10" x14ac:dyDescent="0.25">
      <c r="C17" s="13"/>
      <c r="D17" s="32">
        <v>100016</v>
      </c>
      <c r="E17" s="33" t="s">
        <v>119</v>
      </c>
      <c r="F17" s="34">
        <v>84</v>
      </c>
      <c r="G17" s="7">
        <v>0.25</v>
      </c>
      <c r="H17" s="4">
        <f t="shared" si="2"/>
        <v>63</v>
      </c>
      <c r="I17" s="18" t="str">
        <f>IF(Tableau32[[#This Row],[Fin action]]="JES","ACTUEL",IF(Tableau32[[#This Row],[Fin action]]&gt;0,"FIN","ACTUEL"))</f>
        <v>ACTUEL</v>
      </c>
      <c r="J17" s="29" t="str">
        <f>HYPERLINK("https://www.promerka.com/fr/tables-de-bureaux-assis-debout/915-plateau-melamine-20x2000x800mm.html", "lien")</f>
        <v>lien</v>
      </c>
    </row>
    <row r="18" spans="1:10" x14ac:dyDescent="0.25">
      <c r="C18" s="13"/>
      <c r="D18" s="32" t="s">
        <v>132</v>
      </c>
      <c r="E18" s="33" t="s">
        <v>131</v>
      </c>
      <c r="F18" s="34">
        <v>99</v>
      </c>
      <c r="G18" s="7">
        <v>0.25</v>
      </c>
      <c r="H18" s="4">
        <f t="shared" si="2"/>
        <v>74.25</v>
      </c>
      <c r="I18" s="18" t="str">
        <f>IF(Tableau32[[#This Row],[Fin action]]="JES","ACTUEL",IF(Tableau32[[#This Row],[Fin action]]&gt;0,"FIN","ACTUEL"))</f>
        <v>ACTUEL</v>
      </c>
      <c r="J18" s="29" t="str">
        <f>HYPERLINK("https://www.promerka.com/fr/tables-de-bureaux-assis-debout/879-plateau-melamine-20x1600x800mm.htmll", "lien")</f>
        <v>lien</v>
      </c>
    </row>
    <row r="19" spans="1:10" x14ac:dyDescent="0.25">
      <c r="C19" s="13"/>
      <c r="D19" s="32" t="s">
        <v>120</v>
      </c>
      <c r="E19" s="33" t="s">
        <v>121</v>
      </c>
      <c r="F19" s="34">
        <v>71.900000000000006</v>
      </c>
      <c r="G19" s="7">
        <v>0.25</v>
      </c>
      <c r="H19" s="4">
        <f t="shared" si="2"/>
        <v>53.925000000000004</v>
      </c>
      <c r="I19" s="18" t="str">
        <f>IF(Tableau32[[#This Row],[Fin action]]="JES","ACTUEL",IF(Tableau32[[#This Row],[Fin action]]&gt;0,"FIN","ACTUEL"))</f>
        <v>ACTUEL</v>
      </c>
      <c r="J19" s="29" t="str">
        <f>HYPERLINK("https://www.promerka.com/fr/tables-de-bureaux-assis-debout/875-plateau-melamine-20x1600x800mm.html", "lien")</f>
        <v>lien</v>
      </c>
    </row>
    <row r="20" spans="1:10" x14ac:dyDescent="0.25">
      <c r="C20" s="13"/>
      <c r="D20" s="32">
        <v>6017220</v>
      </c>
      <c r="E20" s="33" t="s">
        <v>122</v>
      </c>
      <c r="F20" s="34">
        <v>118.6</v>
      </c>
      <c r="G20" s="7">
        <v>0.25</v>
      </c>
      <c r="H20" s="4">
        <f t="shared" ref="H20:H29" si="3">F20*(1-G20)</f>
        <v>88.949999999999989</v>
      </c>
      <c r="I20" s="18" t="str">
        <f>IF(Tableau32[[#This Row],[Fin action]]="JES","ACTUEL",IF(Tableau32[[#This Row],[Fin action]]&gt;0,"FIN","ACTUEL"))</f>
        <v>ACTUEL</v>
      </c>
      <c r="J20" s="29" t="str">
        <f>HYPERLINK("https://www.promerka.com/fr/bancs-bancs-vestiaires/874-banc-pour-vestiaire-400x1000x400mm.html", "lien")</f>
        <v>lien</v>
      </c>
    </row>
    <row r="21" spans="1:10" x14ac:dyDescent="0.25">
      <c r="C21" s="13"/>
      <c r="D21" s="32">
        <v>6110100</v>
      </c>
      <c r="E21" s="33" t="s">
        <v>123</v>
      </c>
      <c r="F21" s="34">
        <v>456.85</v>
      </c>
      <c r="G21" s="7">
        <v>0.25</v>
      </c>
      <c r="H21" s="4">
        <f t="shared" si="3"/>
        <v>342.63750000000005</v>
      </c>
      <c r="I21" s="18" t="str">
        <f>IF(Tableau32[[#This Row],[Fin action]]="JES","ACTUEL",IF(Tableau32[[#This Row],[Fin action]]&gt;0,"FIN","ACTUEL"))</f>
        <v>ACTUEL</v>
      </c>
      <c r="J21" s="29" t="str">
        <f>HYPERLINK("https://www.promerka.com/fr/armoires-portes-battantes/695-armoire-portes-battantes-1950x1200x420mm.html", "lien")</f>
        <v>lien</v>
      </c>
    </row>
    <row r="22" spans="1:10" x14ac:dyDescent="0.25">
      <c r="C22" s="13"/>
      <c r="D22" s="32">
        <v>6110139</v>
      </c>
      <c r="E22" s="33" t="s">
        <v>124</v>
      </c>
      <c r="F22" s="34">
        <v>282.2</v>
      </c>
      <c r="G22" s="7">
        <v>0.25</v>
      </c>
      <c r="H22" s="4">
        <f t="shared" si="3"/>
        <v>211.64999999999998</v>
      </c>
      <c r="I22" s="18" t="str">
        <f>IF(Tableau32[[#This Row],[Fin action]]="JES","ACTUEL",IF(Tableau32[[#This Row],[Fin action]]&gt;0,"FIN","ACTUEL"))</f>
        <v>ACTUEL</v>
      </c>
      <c r="J22" s="29" t="str">
        <f>HYPERLINK("https://www.promerka.com/fr/bibliotheque-etageres/696-bibliotheque-1200x920x420mm.html", "lien")</f>
        <v>lien</v>
      </c>
    </row>
    <row r="23" spans="1:10" x14ac:dyDescent="0.25">
      <c r="C23" s="13"/>
      <c r="D23" s="32">
        <v>6110150</v>
      </c>
      <c r="E23" s="33" t="s">
        <v>125</v>
      </c>
      <c r="F23" s="34">
        <v>321.10000000000002</v>
      </c>
      <c r="G23" s="7">
        <v>0.5</v>
      </c>
      <c r="H23" s="4">
        <f t="shared" si="3"/>
        <v>160.55000000000001</v>
      </c>
      <c r="I23" s="18" t="str">
        <f>IF(Tableau32[[#This Row],[Fin action]]="JES","ACTUEL",IF(Tableau32[[#This Row],[Fin action]]&gt;0,"FIN","ACTUEL"))</f>
        <v>ACTUEL</v>
      </c>
      <c r="J23" s="29" t="str">
        <f>HYPERLINK("https://www.promerka.com/fr/armoires-portes-battantes/675-armoire-portes-battantes-1200x920x420mm.html", "lien")</f>
        <v>lien</v>
      </c>
    </row>
    <row r="24" spans="1:10" x14ac:dyDescent="0.25">
      <c r="C24" s="13"/>
      <c r="D24" s="32">
        <v>6110160</v>
      </c>
      <c r="E24" s="33" t="s">
        <v>126</v>
      </c>
      <c r="F24" s="34">
        <v>305</v>
      </c>
      <c r="G24" s="7">
        <v>0.25</v>
      </c>
      <c r="H24" s="4">
        <f t="shared" si="3"/>
        <v>228.75</v>
      </c>
      <c r="I24" s="18" t="str">
        <f>IF(Tableau32[[#This Row],[Fin action]]="JES","ACTUEL",IF(Tableau32[[#This Row],[Fin action]]&gt;0,"FIN","ACTUEL"))</f>
        <v>ACTUEL</v>
      </c>
      <c r="J24" s="29" t="str">
        <f>HYPERLINK("https://www.promerka.com/fr/armoires-portes-battantes/299-armoire-portes-battantes-1000x800x380mm.html", "lien")</f>
        <v>lien</v>
      </c>
    </row>
    <row r="25" spans="1:10" x14ac:dyDescent="0.25">
      <c r="C25" s="13"/>
      <c r="D25" s="32" t="s">
        <v>134</v>
      </c>
      <c r="E25" s="33" t="s">
        <v>133</v>
      </c>
      <c r="F25" s="34">
        <v>91.65</v>
      </c>
      <c r="G25" s="7">
        <v>0.25</v>
      </c>
      <c r="H25" s="4">
        <f t="shared" si="3"/>
        <v>68.737500000000011</v>
      </c>
      <c r="I25" s="18" t="str">
        <f>IF(Tableau32[[#This Row],[Fin action]]="JES","ACTUEL",IF(Tableau32[[#This Row],[Fin action]]&gt;0,"FIN","ACTUEL"))</f>
        <v>ACTUEL</v>
      </c>
      <c r="J25" s="29" t="str">
        <f>HYPERLINK("https://www.promerka.com/fr/bibliotheque-etageres/914-rayonnage-etagere-1800x900x450mm.html", "lien")</f>
        <v>lien</v>
      </c>
    </row>
    <row r="26" spans="1:10" x14ac:dyDescent="0.25">
      <c r="C26" s="13"/>
      <c r="D26" s="32" t="s">
        <v>138</v>
      </c>
      <c r="E26" s="33" t="s">
        <v>137</v>
      </c>
      <c r="F26" s="34">
        <v>93.5</v>
      </c>
      <c r="G26" s="7">
        <v>0.25</v>
      </c>
      <c r="H26" s="4">
        <f t="shared" si="3"/>
        <v>70.125</v>
      </c>
      <c r="I26" s="18" t="str">
        <f>IF(Tableau32[[#This Row],[Fin action]]="JES","ACTUEL",IF(Tableau32[[#This Row],[Fin action]]&gt;0,"FIN","ACTUEL"))</f>
        <v>ACTUEL</v>
      </c>
      <c r="J26" s="29" t="str">
        <f>HYPERLINK("https://www.promerka.com/fr/portes-manteaux/768-porte-manteaux-mural-72x2000x21mm.html", "lien")</f>
        <v>lien</v>
      </c>
    </row>
    <row r="27" spans="1:10" x14ac:dyDescent="0.25">
      <c r="C27" s="13"/>
      <c r="D27" s="32" t="s">
        <v>140</v>
      </c>
      <c r="E27" s="33" t="s">
        <v>139</v>
      </c>
      <c r="F27" s="34">
        <v>123.85</v>
      </c>
      <c r="G27" s="7">
        <v>0.25</v>
      </c>
      <c r="H27" s="4">
        <f t="shared" si="3"/>
        <v>92.887499999999989</v>
      </c>
      <c r="I27" s="18" t="str">
        <f>IF(Tableau32[[#This Row],[Fin action]]="JES","ACTUEL",IF(Tableau32[[#This Row],[Fin action]]&gt;0,"FIN","ACTUEL"))</f>
        <v>ACTUEL</v>
      </c>
      <c r="J27" s="29" t="str">
        <f>HYPERLINK("https://www.promerka.com/fr/sieges-de-travail/930-chaise-pivotante-paola.html", "lien")</f>
        <v>lien</v>
      </c>
    </row>
    <row r="28" spans="1:10" x14ac:dyDescent="0.25">
      <c r="C28" s="13"/>
      <c r="D28" s="32" t="s">
        <v>141</v>
      </c>
      <c r="E28" s="33" t="s">
        <v>12</v>
      </c>
      <c r="F28" s="34">
        <v>33.549999999999997</v>
      </c>
      <c r="G28" s="7">
        <v>0.25</v>
      </c>
      <c r="H28" s="4">
        <f t="shared" si="3"/>
        <v>25.162499999999998</v>
      </c>
      <c r="I28" s="18" t="str">
        <f>IF(Tableau32[[#This Row],[Fin action]]="JES","ACTUEL",IF(Tableau32[[#This Row],[Fin action]]&gt;0,"FIN","ACTUEL"))</f>
        <v>ACTUEL</v>
      </c>
      <c r="J28" s="29" t="str">
        <f>HYPERLINK("https://www.promerka.com/fr/chaises-de-cafeteria/167-chaise-pliante-sara.html", "lien")</f>
        <v>lien</v>
      </c>
    </row>
    <row r="29" spans="1:10" x14ac:dyDescent="0.25">
      <c r="C29" s="13"/>
      <c r="D29" s="32" t="s">
        <v>142</v>
      </c>
      <c r="E29" s="33" t="s">
        <v>143</v>
      </c>
      <c r="F29" s="34">
        <v>79.900000000000006</v>
      </c>
      <c r="G29" s="7">
        <v>0.25</v>
      </c>
      <c r="H29" s="4">
        <f t="shared" si="3"/>
        <v>59.925000000000004</v>
      </c>
      <c r="I29" s="18" t="str">
        <f>IF(Tableau32[[#This Row],[Fin action]]="JES","ACTUEL",IF(Tableau32[[#This Row],[Fin action]]&gt;0,"FIN","ACTUEL"))</f>
        <v>ACTUEL</v>
      </c>
      <c r="J29" s="29" t="str">
        <f>HYPERLINK("https://www.promerka.com/fr/chaises-hautes-tabourets/25-tabouret-zurich.html", "lien")</f>
        <v>lien</v>
      </c>
    </row>
    <row r="30" spans="1:10" ht="15.75" thickBot="1" x14ac:dyDescent="0.3">
      <c r="C30" s="13"/>
      <c r="D30" s="32">
        <v>101632</v>
      </c>
      <c r="E30" s="33" t="s">
        <v>144</v>
      </c>
      <c r="F30" s="34">
        <v>487.3</v>
      </c>
      <c r="G30" s="7"/>
      <c r="H30" s="4">
        <v>299</v>
      </c>
      <c r="I30" s="18" t="str">
        <f>IF(Tableau32[[#This Row],[Fin action]]="JES","ACTUEL",IF(Tableau32[[#This Row],[Fin action]]&gt;0,"FIN","ACTUEL"))</f>
        <v>ACTUEL</v>
      </c>
      <c r="J30" s="29" t="str">
        <f>HYPERLINK("https://www.promerka.com/fr/climatiseurs/251-mk9000-climatiseur-mobile.html", "lien")</f>
        <v>lien</v>
      </c>
    </row>
    <row r="31" spans="1:10" ht="15.75" thickBot="1" x14ac:dyDescent="0.3">
      <c r="A31" s="16">
        <v>45226</v>
      </c>
      <c r="B31" s="16" t="s">
        <v>43</v>
      </c>
      <c r="C31" s="13"/>
      <c r="D31" s="33" t="s">
        <v>98</v>
      </c>
      <c r="E31" s="33" t="s">
        <v>97</v>
      </c>
      <c r="F31" s="34">
        <v>321</v>
      </c>
      <c r="G31" s="7">
        <v>0.5</v>
      </c>
      <c r="H31" s="4">
        <f t="shared" si="2"/>
        <v>160.5</v>
      </c>
      <c r="I31" t="str">
        <f>IF(Tableau32[[#This Row],[Fin action]]="JES","ACTUEL",IF(Tableau32[[#This Row],[Fin action]]&gt;0,"FIN","ACTUEL"))</f>
        <v>ACTUEL</v>
      </c>
      <c r="J31" s="25" t="str">
        <f>HYPERLINK("https://www.promerka.com/fr/tables-de-bureaux/670-table-de-bureau-pieds-en-t-740x1800x800mm.html", "lien")</f>
        <v>lien</v>
      </c>
    </row>
    <row r="32" spans="1:10" x14ac:dyDescent="0.25">
      <c r="A32" s="16">
        <v>45226</v>
      </c>
      <c r="B32" s="16" t="s">
        <v>43</v>
      </c>
      <c r="D32" s="33" t="s">
        <v>96</v>
      </c>
      <c r="E32" s="33" t="s">
        <v>97</v>
      </c>
      <c r="F32" s="34">
        <v>312</v>
      </c>
      <c r="G32" s="7">
        <v>0.5</v>
      </c>
      <c r="H32" s="4">
        <f t="shared" si="2"/>
        <v>156</v>
      </c>
      <c r="I32" t="str">
        <f>IF(Tableau32[[#This Row],[Fin action]]="JES","ACTUEL",IF(Tableau32[[#This Row],[Fin action]]&gt;0,"FIN","ACTUEL"))</f>
        <v>ACTUEL</v>
      </c>
      <c r="J32" s="26" t="str">
        <f t="shared" ref="J32" si="4">HYPERLINK("https://www.promerka.com/fr/tables-de-bureaux/669-table-de-bureau-pieds-en-t-740x1600x800mm.html", "lien")</f>
        <v>lien</v>
      </c>
    </row>
    <row r="33" spans="1:10" x14ac:dyDescent="0.25">
      <c r="A33" s="16">
        <v>45226</v>
      </c>
      <c r="B33" s="16" t="s">
        <v>43</v>
      </c>
      <c r="C33" s="13"/>
      <c r="D33" s="33" t="s">
        <v>93</v>
      </c>
      <c r="E33" s="33" t="s">
        <v>94</v>
      </c>
      <c r="F33" s="34">
        <v>291</v>
      </c>
      <c r="G33" s="7">
        <v>0.25</v>
      </c>
      <c r="H33" s="4">
        <f t="shared" ref="H33:H72" si="5">F33*(1-G33)</f>
        <v>218.25</v>
      </c>
      <c r="I33" t="str">
        <f>IF(Tableau32[[#This Row],[Fin action]]="JES","ACTUEL",IF(Tableau32[[#This Row],[Fin action]]&gt;0,"FIN","ACTUEL"))</f>
        <v>ACTUEL</v>
      </c>
      <c r="J33" s="26" t="str">
        <f>HYPERLINK("https://www.promerka.com/fr/tables-de-bureaux/327-table-de-bureau-4-pieds-740x1800x800mm.html", "lien")</f>
        <v>lien</v>
      </c>
    </row>
    <row r="34" spans="1:10" x14ac:dyDescent="0.25">
      <c r="A34" s="16">
        <v>45226</v>
      </c>
      <c r="B34" s="16" t="s">
        <v>43</v>
      </c>
      <c r="C34" s="13"/>
      <c r="D34" s="33" t="s">
        <v>92</v>
      </c>
      <c r="E34" s="33" t="s">
        <v>95</v>
      </c>
      <c r="F34" s="34">
        <v>270</v>
      </c>
      <c r="G34" s="7">
        <v>0.25</v>
      </c>
      <c r="H34" s="4">
        <f t="shared" si="5"/>
        <v>202.5</v>
      </c>
      <c r="I34" t="str">
        <f>IF(Tableau32[[#This Row],[Fin action]]="JES","ACTUEL",IF(Tableau32[[#This Row],[Fin action]]&gt;0,"FIN","ACTUEL"))</f>
        <v>ACTUEL</v>
      </c>
      <c r="J34" s="26" t="str">
        <f>HYPERLINK("https://www.promerka.com/fr/tables-de-bureaux/38-table-de-bureau-plateau-4-pieds-740x1600x800mm.html", "lien")</f>
        <v>lien</v>
      </c>
    </row>
    <row r="35" spans="1:10" hidden="1" x14ac:dyDescent="0.25">
      <c r="A35" s="16">
        <v>43892</v>
      </c>
      <c r="B35" s="16">
        <v>44110</v>
      </c>
      <c r="C35" s="13"/>
      <c r="D35" t="s">
        <v>9</v>
      </c>
      <c r="E35" t="s">
        <v>10</v>
      </c>
      <c r="F35" s="3">
        <v>25</v>
      </c>
      <c r="G35" s="7">
        <v>0.25</v>
      </c>
      <c r="H35" s="4">
        <f t="shared" si="5"/>
        <v>18.75</v>
      </c>
      <c r="I35" t="str">
        <f>IF(Tableau32[[#This Row],[Fin action]]="JES","ACTUEL",IF(Tableau32[[#This Row],[Fin action]]&gt;0,"FIN","ACTUEL"))</f>
        <v>FIN</v>
      </c>
      <c r="J35" s="26"/>
    </row>
    <row r="36" spans="1:10" hidden="1" x14ac:dyDescent="0.25">
      <c r="A36" s="16">
        <v>43986</v>
      </c>
      <c r="B36" s="16">
        <v>44196</v>
      </c>
      <c r="C36" s="13"/>
      <c r="D36" t="s">
        <v>28</v>
      </c>
      <c r="E36" t="s">
        <v>27</v>
      </c>
      <c r="F36" s="3">
        <v>570</v>
      </c>
      <c r="G36" s="7">
        <v>0.5</v>
      </c>
      <c r="H36" s="4">
        <f t="shared" si="5"/>
        <v>285</v>
      </c>
      <c r="I36" t="str">
        <f>IF(Tableau32[[#This Row],[Fin action]]="JES","ACTUEL",IF(Tableau32[[#This Row],[Fin action]]&gt;0,"FIN","ACTUEL"))</f>
        <v>FIN</v>
      </c>
      <c r="J36" s="26"/>
    </row>
    <row r="37" spans="1:10" hidden="1" x14ac:dyDescent="0.25">
      <c r="A37" s="16">
        <v>43990</v>
      </c>
      <c r="B37" s="16">
        <v>43992</v>
      </c>
      <c r="D37" t="s">
        <v>16</v>
      </c>
      <c r="E37" t="s">
        <v>29</v>
      </c>
      <c r="F37" s="3">
        <v>99.8</v>
      </c>
      <c r="G37" s="7">
        <v>0.25</v>
      </c>
      <c r="H37" s="4">
        <f t="shared" si="5"/>
        <v>74.849999999999994</v>
      </c>
      <c r="I37" t="str">
        <f>IF(Tableau32[[#This Row],[Fin action]]="JES","ACTUEL",IF(Tableau32[[#This Row],[Fin action]]&gt;0,"FIN","ACTUEL"))</f>
        <v>FIN</v>
      </c>
      <c r="J37" s="26"/>
    </row>
    <row r="38" spans="1:10" hidden="1" x14ac:dyDescent="0.25">
      <c r="A38" s="16">
        <v>43993</v>
      </c>
      <c r="B38" s="16">
        <v>44097</v>
      </c>
      <c r="D38" t="s">
        <v>32</v>
      </c>
      <c r="E38" t="s">
        <v>30</v>
      </c>
      <c r="F38" s="3">
        <v>28</v>
      </c>
      <c r="G38" s="7">
        <v>0.5</v>
      </c>
      <c r="H38" s="4">
        <f t="shared" si="5"/>
        <v>14</v>
      </c>
      <c r="I38" t="str">
        <f>IF(Tableau32[[#This Row],[Fin action]]="JES","ACTUEL",IF(Tableau32[[#This Row],[Fin action]]&gt;0,"FIN","ACTUEL"))</f>
        <v>FIN</v>
      </c>
      <c r="J38" s="26"/>
    </row>
    <row r="39" spans="1:10" hidden="1" x14ac:dyDescent="0.25">
      <c r="A39" s="16">
        <v>43993</v>
      </c>
      <c r="B39" s="16">
        <v>44196</v>
      </c>
      <c r="C39" s="13"/>
      <c r="D39" t="s">
        <v>22</v>
      </c>
      <c r="E39" t="s">
        <v>31</v>
      </c>
      <c r="F39" s="3">
        <v>78</v>
      </c>
      <c r="G39" s="7">
        <v>0.25</v>
      </c>
      <c r="H39" s="4">
        <f t="shared" si="5"/>
        <v>58.5</v>
      </c>
      <c r="I39" t="str">
        <f>IF(Tableau32[[#This Row],[Fin action]]="JES","ACTUEL",IF(Tableau32[[#This Row],[Fin action]]&gt;0,"FIN","ACTUEL"))</f>
        <v>FIN</v>
      </c>
      <c r="J39" s="26"/>
    </row>
    <row r="40" spans="1:10" hidden="1" x14ac:dyDescent="0.25">
      <c r="A40" s="16">
        <v>43999</v>
      </c>
      <c r="B40" s="16">
        <v>44196</v>
      </c>
      <c r="C40" s="13"/>
      <c r="D40" t="s">
        <v>35</v>
      </c>
      <c r="E40" t="s">
        <v>36</v>
      </c>
      <c r="F40" s="3">
        <v>39.950000000000003</v>
      </c>
      <c r="G40" s="7">
        <v>0.25</v>
      </c>
      <c r="H40" s="4">
        <f t="shared" si="5"/>
        <v>29.962500000000002</v>
      </c>
      <c r="I40" t="str">
        <f>IF(Tableau32[[#This Row],[Fin action]]="JES","ACTUEL",IF(Tableau32[[#This Row],[Fin action]]&gt;0,"FIN","ACTUEL"))</f>
        <v>FIN</v>
      </c>
      <c r="J40" s="26"/>
    </row>
    <row r="41" spans="1:10" hidden="1" x14ac:dyDescent="0.25">
      <c r="A41" s="16">
        <v>43999</v>
      </c>
      <c r="B41" s="16">
        <v>44196</v>
      </c>
      <c r="C41" s="13"/>
      <c r="D41" t="s">
        <v>34</v>
      </c>
      <c r="E41" t="s">
        <v>33</v>
      </c>
      <c r="F41" s="3">
        <v>53.25</v>
      </c>
      <c r="G41" s="7">
        <v>0.25</v>
      </c>
      <c r="H41" s="4">
        <f t="shared" si="5"/>
        <v>39.9375</v>
      </c>
      <c r="I41" t="str">
        <f>IF(Tableau32[[#This Row],[Fin action]]="JES","ACTUEL",IF(Tableau32[[#This Row],[Fin action]]&gt;0,"FIN","ACTUEL"))</f>
        <v>FIN</v>
      </c>
      <c r="J41" s="26"/>
    </row>
    <row r="42" spans="1:10" x14ac:dyDescent="0.25">
      <c r="A42" s="16">
        <v>44314</v>
      </c>
      <c r="B42" s="16" t="s">
        <v>43</v>
      </c>
      <c r="C42" s="13"/>
      <c r="D42" s="33" t="s">
        <v>102</v>
      </c>
      <c r="E42" s="33" t="s">
        <v>103</v>
      </c>
      <c r="F42" s="34">
        <v>631.25</v>
      </c>
      <c r="G42" s="7">
        <v>0.5</v>
      </c>
      <c r="H42" s="4">
        <f t="shared" si="5"/>
        <v>315.625</v>
      </c>
      <c r="I42" t="str">
        <f>IF(Tableau32[[#This Row],[Fin action]]="JES","ACTUEL",IF(Tableau32[[#This Row],[Fin action]]&gt;0,"FIN","ACTUEL"))</f>
        <v>ACTUEL</v>
      </c>
      <c r="J42" s="26"/>
    </row>
    <row r="43" spans="1:10" hidden="1" x14ac:dyDescent="0.25">
      <c r="A43" s="16">
        <v>44083</v>
      </c>
      <c r="B43" s="16">
        <v>44196</v>
      </c>
      <c r="C43" s="13"/>
      <c r="D43" t="s">
        <v>40</v>
      </c>
      <c r="E43" t="s">
        <v>38</v>
      </c>
      <c r="F43" s="3">
        <v>217.9</v>
      </c>
      <c r="G43" s="7">
        <v>0.25</v>
      </c>
      <c r="H43" s="4">
        <f t="shared" si="5"/>
        <v>163.42500000000001</v>
      </c>
      <c r="I43" t="str">
        <f>IF(Tableau32[[#This Row],[Fin action]]="JES","ACTUEL",IF(Tableau32[[#This Row],[Fin action]]&gt;0,"FIN","ACTUEL"))</f>
        <v>FIN</v>
      </c>
      <c r="J43" s="26"/>
    </row>
    <row r="44" spans="1:10" x14ac:dyDescent="0.25">
      <c r="A44" s="16">
        <v>44089</v>
      </c>
      <c r="C44" s="13"/>
      <c r="D44" s="33" t="s">
        <v>104</v>
      </c>
      <c r="E44" s="33" t="s">
        <v>70</v>
      </c>
      <c r="F44" s="34">
        <v>863</v>
      </c>
      <c r="G44" s="7">
        <v>0.5</v>
      </c>
      <c r="H44" s="4">
        <f t="shared" si="5"/>
        <v>431.5</v>
      </c>
      <c r="I44" t="str">
        <f>IF(Tableau32[[#This Row],[Fin action]]="JES","ACTUEL",IF(Tableau32[[#This Row],[Fin action]]&gt;0,"FIN","ACTUEL"))</f>
        <v>ACTUEL</v>
      </c>
      <c r="J44" s="26"/>
    </row>
    <row r="45" spans="1:10" hidden="1" x14ac:dyDescent="0.25">
      <c r="B45" s="16">
        <v>44097</v>
      </c>
      <c r="D45" t="s">
        <v>11</v>
      </c>
      <c r="E45" t="s">
        <v>12</v>
      </c>
      <c r="F45" s="3">
        <v>23.05</v>
      </c>
      <c r="G45" s="7">
        <v>0.5</v>
      </c>
      <c r="H45" s="4">
        <f t="shared" si="5"/>
        <v>11.525</v>
      </c>
      <c r="I45" t="str">
        <f>IF(Tableau32[[#This Row],[Fin action]]="JES","ACTUEL",IF(Tableau32[[#This Row],[Fin action]]&gt;0,"FIN","ACTUEL"))</f>
        <v>FIN</v>
      </c>
      <c r="J45" s="26"/>
    </row>
    <row r="46" spans="1:10" hidden="1" x14ac:dyDescent="0.25">
      <c r="B46" s="16">
        <v>44083</v>
      </c>
      <c r="D46" t="s">
        <v>25</v>
      </c>
      <c r="E46" t="s">
        <v>26</v>
      </c>
      <c r="F46" s="3">
        <v>248.4</v>
      </c>
      <c r="G46" s="7">
        <v>0.25</v>
      </c>
      <c r="H46" s="4">
        <f t="shared" si="5"/>
        <v>186.3</v>
      </c>
      <c r="I46" t="str">
        <f>IF(Tableau32[[#This Row],[Fin action]]="JES","ACTUEL",IF(Tableau32[[#This Row],[Fin action]]&gt;0,"FIN","ACTUEL"))</f>
        <v>FIN</v>
      </c>
      <c r="J46" s="26"/>
    </row>
    <row r="47" spans="1:10" hidden="1" x14ac:dyDescent="0.25">
      <c r="B47" s="16">
        <v>44196</v>
      </c>
      <c r="C47" s="13"/>
      <c r="D47" t="s">
        <v>37</v>
      </c>
      <c r="E47" t="s">
        <v>21</v>
      </c>
      <c r="F47" s="3">
        <v>407.7</v>
      </c>
      <c r="G47" s="7">
        <v>0.25</v>
      </c>
      <c r="H47" s="4">
        <f t="shared" si="5"/>
        <v>305.77499999999998</v>
      </c>
      <c r="I47" t="str">
        <f>IF(Tableau32[[#This Row],[Fin action]]="JES","ACTUEL",IF(Tableau32[[#This Row],[Fin action]]&gt;0,"FIN","ACTUEL"))</f>
        <v>FIN</v>
      </c>
      <c r="J47" s="26"/>
    </row>
    <row r="48" spans="1:10" hidden="1" x14ac:dyDescent="0.25">
      <c r="B48" s="16">
        <v>43992</v>
      </c>
      <c r="D48" t="s">
        <v>16</v>
      </c>
      <c r="E48" t="s">
        <v>15</v>
      </c>
      <c r="F48" s="3">
        <v>99.8</v>
      </c>
      <c r="G48" s="7">
        <v>0.25</v>
      </c>
      <c r="H48" s="4">
        <f t="shared" si="5"/>
        <v>74.849999999999994</v>
      </c>
      <c r="I48" t="str">
        <f>IF(Tableau32[[#This Row],[Fin action]]="JES","ACTUEL",IF(Tableau32[[#This Row],[Fin action]]&gt;0,"FIN","ACTUEL"))</f>
        <v>FIN</v>
      </c>
      <c r="J48" s="26"/>
    </row>
    <row r="49" spans="1:10" hidden="1" x14ac:dyDescent="0.25">
      <c r="B49" s="16">
        <v>43992</v>
      </c>
      <c r="D49" t="s">
        <v>22</v>
      </c>
      <c r="E49" t="s">
        <v>15</v>
      </c>
      <c r="F49" s="3">
        <v>86.1</v>
      </c>
      <c r="G49" s="7">
        <v>0.25</v>
      </c>
      <c r="H49" s="4">
        <f t="shared" si="5"/>
        <v>64.574999999999989</v>
      </c>
      <c r="I49" t="str">
        <f>IF(Tableau32[[#This Row],[Fin action]]="JES","ACTUEL",IF(Tableau32[[#This Row],[Fin action]]&gt;0,"FIN","ACTUEL"))</f>
        <v>FIN</v>
      </c>
      <c r="J49" s="26"/>
    </row>
    <row r="50" spans="1:10" x14ac:dyDescent="0.25">
      <c r="B50" s="16" t="s">
        <v>43</v>
      </c>
      <c r="C50" s="13"/>
      <c r="D50" s="33" t="s">
        <v>20</v>
      </c>
      <c r="E50" s="33" t="s">
        <v>101</v>
      </c>
      <c r="F50" s="34">
        <v>106.15</v>
      </c>
      <c r="G50" s="7">
        <v>0.5</v>
      </c>
      <c r="H50" s="4">
        <f t="shared" si="5"/>
        <v>53.075000000000003</v>
      </c>
      <c r="I50" t="str">
        <f>IF(Tableau32[[#This Row],[Fin action]]="JES","ACTUEL",IF(Tableau32[[#This Row],[Fin action]]&gt;0,"FIN","ACTUEL"))</f>
        <v>ACTUEL</v>
      </c>
      <c r="J50" s="26"/>
    </row>
    <row r="51" spans="1:10" hidden="1" x14ac:dyDescent="0.25">
      <c r="B51" s="16">
        <v>44110</v>
      </c>
      <c r="C51" s="13"/>
      <c r="D51" t="s">
        <v>24</v>
      </c>
      <c r="E51" t="s">
        <v>23</v>
      </c>
      <c r="F51" s="3">
        <v>437.1</v>
      </c>
      <c r="G51" s="7">
        <v>0.25</v>
      </c>
      <c r="H51" s="4">
        <f t="shared" si="5"/>
        <v>327.82500000000005</v>
      </c>
      <c r="I51" t="str">
        <f>IF(Tableau32[[#This Row],[Fin action]]="JES","ACTUEL",IF(Tableau32[[#This Row],[Fin action]]&gt;0,"FIN","ACTUEL"))</f>
        <v>FIN</v>
      </c>
      <c r="J51" s="26"/>
    </row>
    <row r="52" spans="1:10" hidden="1" x14ac:dyDescent="0.25">
      <c r="B52" s="16">
        <v>43992</v>
      </c>
      <c r="D52" t="s">
        <v>8</v>
      </c>
      <c r="E52" t="s">
        <v>7</v>
      </c>
      <c r="F52" s="3">
        <v>185.6</v>
      </c>
      <c r="G52" s="7">
        <v>0.5</v>
      </c>
      <c r="H52" s="4">
        <f t="shared" si="5"/>
        <v>92.8</v>
      </c>
      <c r="I52" t="str">
        <f>IF(Tableau32[[#This Row],[Fin action]]="JES","ACTUEL",IF(Tableau32[[#This Row],[Fin action]]&gt;0,"FIN","ACTUEL"))</f>
        <v>FIN</v>
      </c>
      <c r="J52" s="26"/>
    </row>
    <row r="53" spans="1:10" hidden="1" x14ac:dyDescent="0.25">
      <c r="B53" s="16">
        <v>43992</v>
      </c>
      <c r="D53" t="s">
        <v>18</v>
      </c>
      <c r="E53" t="s">
        <v>17</v>
      </c>
      <c r="F53" s="3">
        <v>249</v>
      </c>
      <c r="G53" s="7">
        <v>0.5</v>
      </c>
      <c r="H53" s="4">
        <f t="shared" si="5"/>
        <v>124.5</v>
      </c>
      <c r="I53" t="str">
        <f>IF(Tableau32[[#This Row],[Fin action]]="JES","ACTUEL",IF(Tableau32[[#This Row],[Fin action]]&gt;0,"FIN","ACTUEL"))</f>
        <v>FIN</v>
      </c>
      <c r="J53" s="26"/>
    </row>
    <row r="54" spans="1:10" hidden="1" x14ac:dyDescent="0.25">
      <c r="B54" s="16">
        <v>43992</v>
      </c>
      <c r="D54" t="s">
        <v>19</v>
      </c>
      <c r="E54" t="s">
        <v>17</v>
      </c>
      <c r="F54" s="3">
        <v>491.4</v>
      </c>
      <c r="G54" s="7">
        <v>0.5</v>
      </c>
      <c r="H54" s="4">
        <f t="shared" si="5"/>
        <v>245.7</v>
      </c>
      <c r="I54" t="str">
        <f>IF(Tableau32[[#This Row],[Fin action]]="JES","ACTUEL",IF(Tableau32[[#This Row],[Fin action]]&gt;0,"FIN","ACTUEL"))</f>
        <v>FIN</v>
      </c>
      <c r="J54" s="26"/>
    </row>
    <row r="55" spans="1:10" hidden="1" x14ac:dyDescent="0.25">
      <c r="B55" s="16">
        <v>44408</v>
      </c>
      <c r="C55" s="13">
        <v>44408</v>
      </c>
      <c r="D55" t="s">
        <v>44</v>
      </c>
      <c r="E55" t="s">
        <v>45</v>
      </c>
      <c r="F55" s="3">
        <v>299</v>
      </c>
      <c r="G55" s="7">
        <v>0.33444000000000002</v>
      </c>
      <c r="H55" s="4">
        <f t="shared" si="5"/>
        <v>199.00243999999998</v>
      </c>
      <c r="I55" t="str">
        <f>IF(Tableau32[[#This Row],[Fin action]]="JES","ACTUEL",IF(Tableau32[[#This Row],[Fin action]]&gt;0,"FIN","ACTUEL"))</f>
        <v>FIN</v>
      </c>
      <c r="J55" s="26"/>
    </row>
    <row r="56" spans="1:10" hidden="1" x14ac:dyDescent="0.25">
      <c r="A56" s="17">
        <v>44103</v>
      </c>
      <c r="B56" s="17">
        <v>44227</v>
      </c>
      <c r="C56" s="14" t="s">
        <v>53</v>
      </c>
      <c r="D56" s="2" t="s">
        <v>46</v>
      </c>
      <c r="E56" s="2" t="s">
        <v>47</v>
      </c>
      <c r="F56" s="12">
        <v>504</v>
      </c>
      <c r="G56" s="7">
        <v>0.42658000000000001</v>
      </c>
      <c r="H56" s="4">
        <f t="shared" si="5"/>
        <v>289.00368000000003</v>
      </c>
      <c r="I56" t="str">
        <f>IF(Tableau32[[#This Row],[Fin action]]="JES","ACTUEL",IF(Tableau32[[#This Row],[Fin action]]&gt;0,"FIN","ACTUEL"))</f>
        <v>FIN</v>
      </c>
      <c r="J56" s="26"/>
    </row>
    <row r="57" spans="1:10" hidden="1" x14ac:dyDescent="0.25">
      <c r="A57" s="16">
        <v>44103</v>
      </c>
      <c r="B57" s="16">
        <v>44196</v>
      </c>
      <c r="C57" s="13" t="s">
        <v>53</v>
      </c>
      <c r="D57" t="s">
        <v>48</v>
      </c>
      <c r="E57" t="s">
        <v>49</v>
      </c>
      <c r="F57" s="12">
        <v>546</v>
      </c>
      <c r="G57" s="7">
        <v>0.48901</v>
      </c>
      <c r="H57" s="4">
        <f t="shared" si="5"/>
        <v>279.00054000000006</v>
      </c>
      <c r="I57" t="str">
        <f>IF(Tableau32[[#This Row],[Fin action]]="JES","ACTUEL",IF(Tableau32[[#This Row],[Fin action]]&gt;0,"FIN","ACTUEL"))</f>
        <v>FIN</v>
      </c>
      <c r="J57" s="26"/>
    </row>
    <row r="58" spans="1:10" hidden="1" x14ac:dyDescent="0.25">
      <c r="A58" s="16">
        <v>44098</v>
      </c>
      <c r="B58" s="16">
        <v>44155</v>
      </c>
      <c r="C58" s="13"/>
      <c r="D58" t="s">
        <v>50</v>
      </c>
      <c r="E58" t="s">
        <v>51</v>
      </c>
      <c r="F58" s="12">
        <v>185.6</v>
      </c>
      <c r="G58" s="7">
        <v>0.5</v>
      </c>
      <c r="H58" s="4">
        <f t="shared" si="5"/>
        <v>92.8</v>
      </c>
      <c r="I58" t="str">
        <f>IF(Tableau32[[#This Row],[Fin action]]="JES","ACTUEL",IF(Tableau32[[#This Row],[Fin action]]&gt;0,"FIN","ACTUEL"))</f>
        <v>FIN</v>
      </c>
      <c r="J58" s="26"/>
    </row>
    <row r="59" spans="1:10" hidden="1" x14ac:dyDescent="0.25">
      <c r="A59" s="17">
        <v>44207</v>
      </c>
      <c r="B59" s="17">
        <v>44227</v>
      </c>
      <c r="C59" s="14" t="s">
        <v>66</v>
      </c>
      <c r="D59" s="2" t="s">
        <v>56</v>
      </c>
      <c r="E59" s="2" t="s">
        <v>55</v>
      </c>
      <c r="F59" s="3">
        <v>599</v>
      </c>
      <c r="G59" s="7">
        <v>0.5</v>
      </c>
      <c r="H59" s="4">
        <f t="shared" si="5"/>
        <v>299.5</v>
      </c>
      <c r="I59" s="19" t="str">
        <f>IF(Tableau32[[#This Row],[Fin action]]="JES","ACTUEL",IF(Tableau32[[#This Row],[Fin action]]&gt;0,"FIN","ACTUEL"))</f>
        <v>FIN</v>
      </c>
      <c r="J59" s="26"/>
    </row>
    <row r="60" spans="1:10" hidden="1" x14ac:dyDescent="0.25">
      <c r="A60" s="16">
        <v>44207</v>
      </c>
      <c r="B60" s="16">
        <v>44227</v>
      </c>
      <c r="C60" s="14" t="s">
        <v>65</v>
      </c>
      <c r="D60" t="s">
        <v>57</v>
      </c>
      <c r="E60" s="2" t="s">
        <v>58</v>
      </c>
      <c r="F60" s="3">
        <v>606</v>
      </c>
      <c r="G60" s="7">
        <v>0.5</v>
      </c>
      <c r="H60" s="4">
        <f t="shared" si="5"/>
        <v>303</v>
      </c>
      <c r="I60" s="18" t="str">
        <f>IF(Tableau32[[#This Row],[Fin action]]="JES","ACTUEL",IF(Tableau32[[#This Row],[Fin action]]&gt;0,"FIN","ACTUEL"))</f>
        <v>FIN</v>
      </c>
      <c r="J60" s="26"/>
    </row>
    <row r="61" spans="1:10" hidden="1" x14ac:dyDescent="0.25">
      <c r="A61" s="16">
        <v>44207</v>
      </c>
      <c r="B61" s="16">
        <v>44227</v>
      </c>
      <c r="C61" s="14" t="s">
        <v>65</v>
      </c>
      <c r="D61" t="s">
        <v>60</v>
      </c>
      <c r="E61" s="2" t="s">
        <v>59</v>
      </c>
      <c r="F61" s="3">
        <v>609</v>
      </c>
      <c r="G61" s="7">
        <v>0.5</v>
      </c>
      <c r="H61" s="4">
        <f t="shared" si="5"/>
        <v>304.5</v>
      </c>
      <c r="I61" s="18" t="str">
        <f>IF(Tableau32[[#This Row],[Fin action]]="JES","ACTUEL",IF(Tableau32[[#This Row],[Fin action]]&gt;0,"FIN","ACTUEL"))</f>
        <v>FIN</v>
      </c>
      <c r="J61" s="26"/>
    </row>
    <row r="62" spans="1:10" hidden="1" x14ac:dyDescent="0.25">
      <c r="A62" s="16">
        <v>44207</v>
      </c>
      <c r="B62" s="16">
        <v>44227</v>
      </c>
      <c r="C62" s="14" t="s">
        <v>65</v>
      </c>
      <c r="D62" t="s">
        <v>61</v>
      </c>
      <c r="E62" s="2" t="s">
        <v>62</v>
      </c>
      <c r="F62" s="3">
        <v>619</v>
      </c>
      <c r="G62" s="7">
        <v>0.5</v>
      </c>
      <c r="H62" s="4">
        <f t="shared" si="5"/>
        <v>309.5</v>
      </c>
      <c r="I62" s="18" t="str">
        <f>IF(Tableau32[[#This Row],[Fin action]]="JES","ACTUEL",IF(Tableau32[[#This Row],[Fin action]]&gt;0,"FIN","ACTUEL"))</f>
        <v>FIN</v>
      </c>
      <c r="J62" s="26"/>
    </row>
    <row r="63" spans="1:10" hidden="1" x14ac:dyDescent="0.25">
      <c r="A63" s="16">
        <v>44207</v>
      </c>
      <c r="B63" s="16">
        <v>44227</v>
      </c>
      <c r="C63" s="14" t="s">
        <v>65</v>
      </c>
      <c r="D63" t="s">
        <v>64</v>
      </c>
      <c r="E63" s="2" t="s">
        <v>63</v>
      </c>
      <c r="F63" s="3">
        <v>629</v>
      </c>
      <c r="G63" s="7">
        <v>0.5</v>
      </c>
      <c r="H63" s="4">
        <f t="shared" si="5"/>
        <v>314.5</v>
      </c>
      <c r="I63" s="18" t="str">
        <f>IF(Tableau32[[#This Row],[Fin action]]="JES","ACTUEL",IF(Tableau32[[#This Row],[Fin action]]&gt;0,"FIN","ACTUEL"))</f>
        <v>FIN</v>
      </c>
      <c r="J63" s="26"/>
    </row>
    <row r="64" spans="1:10" hidden="1" x14ac:dyDescent="0.25">
      <c r="A64" s="16">
        <v>44207</v>
      </c>
      <c r="B64" s="16">
        <v>44255</v>
      </c>
      <c r="C64" s="14"/>
      <c r="D64" t="s">
        <v>67</v>
      </c>
      <c r="E64" s="2" t="s">
        <v>68</v>
      </c>
      <c r="F64" s="20">
        <v>927.6</v>
      </c>
      <c r="G64" s="7">
        <v>0.25</v>
      </c>
      <c r="H64" s="4">
        <f t="shared" si="5"/>
        <v>695.7</v>
      </c>
      <c r="I64" s="18" t="str">
        <f>IF(Tableau32[[#This Row],[Fin action]]="JES","ACTUEL",IF(Tableau32[[#This Row],[Fin action]]&gt;0,"FIN","ACTUEL"))</f>
        <v>FIN</v>
      </c>
      <c r="J64" s="26"/>
    </row>
    <row r="65" spans="1:10" hidden="1" x14ac:dyDescent="0.25">
      <c r="A65" s="16">
        <v>44207</v>
      </c>
      <c r="B65" s="16">
        <v>44255</v>
      </c>
      <c r="C65" s="14"/>
      <c r="D65" t="s">
        <v>71</v>
      </c>
      <c r="E65" s="2" t="s">
        <v>69</v>
      </c>
      <c r="F65" s="20">
        <v>927.6</v>
      </c>
      <c r="G65" s="7">
        <v>0.25</v>
      </c>
      <c r="H65" s="4">
        <f t="shared" si="5"/>
        <v>695.7</v>
      </c>
      <c r="I65" s="18" t="str">
        <f>IF(Tableau32[[#This Row],[Fin action]]="JES","ACTUEL",IF(Tableau32[[#This Row],[Fin action]]&gt;0,"FIN","ACTUEL"))</f>
        <v>FIN</v>
      </c>
      <c r="J65" s="26"/>
    </row>
    <row r="66" spans="1:10" hidden="1" x14ac:dyDescent="0.25">
      <c r="A66" s="16">
        <v>44210</v>
      </c>
      <c r="B66" s="16">
        <v>44255</v>
      </c>
      <c r="C66" s="14"/>
      <c r="D66" t="s">
        <v>72</v>
      </c>
      <c r="E66" s="2" t="s">
        <v>73</v>
      </c>
      <c r="F66" s="20">
        <v>183</v>
      </c>
      <c r="G66" s="7">
        <v>0.25</v>
      </c>
      <c r="H66" s="4">
        <f t="shared" si="5"/>
        <v>137.25</v>
      </c>
      <c r="I66" s="18" t="str">
        <f>IF(Tableau32[[#This Row],[Fin action]]="JES","ACTUEL",IF(Tableau32[[#This Row],[Fin action]]&gt;0,"FIN","ACTUEL"))</f>
        <v>FIN</v>
      </c>
      <c r="J66" s="26"/>
    </row>
    <row r="67" spans="1:10" hidden="1" x14ac:dyDescent="0.25">
      <c r="A67" s="16">
        <v>44210</v>
      </c>
      <c r="B67" s="16">
        <v>44255</v>
      </c>
      <c r="C67" s="14"/>
      <c r="D67" t="s">
        <v>74</v>
      </c>
      <c r="E67" s="2" t="s">
        <v>75</v>
      </c>
      <c r="F67" s="20">
        <v>195</v>
      </c>
      <c r="G67" s="7">
        <v>0.25</v>
      </c>
      <c r="H67" s="4">
        <f t="shared" si="5"/>
        <v>146.25</v>
      </c>
      <c r="I67" s="18" t="str">
        <f>IF(Tableau32[[#This Row],[Fin action]]="JES","ACTUEL",IF(Tableau32[[#This Row],[Fin action]]&gt;0,"FIN","ACTUEL"))</f>
        <v>FIN</v>
      </c>
      <c r="J67" s="26"/>
    </row>
    <row r="68" spans="1:10" x14ac:dyDescent="0.25">
      <c r="C68" s="14"/>
      <c r="D68" s="33" t="s">
        <v>136</v>
      </c>
      <c r="E68" s="35" t="s">
        <v>135</v>
      </c>
      <c r="F68" s="36">
        <v>83.4</v>
      </c>
      <c r="G68" s="7">
        <v>0.25</v>
      </c>
      <c r="H68" s="4">
        <f t="shared" si="5"/>
        <v>62.550000000000004</v>
      </c>
      <c r="I68" s="18" t="str">
        <f>IF(Tableau32[[#This Row],[Fin action]]="JES","ACTUEL",IF(Tableau32[[#This Row],[Fin action]]&gt;0,"FIN","ACTUEL"))</f>
        <v>ACTUEL</v>
      </c>
      <c r="J68" s="29" t="str">
        <f>HYPERLINK("https://www.promerka.com/fr/portes-manteaux/58-porte-manteaux-porte-parapluies.html", "lien")</f>
        <v>lien</v>
      </c>
    </row>
    <row r="69" spans="1:10" x14ac:dyDescent="0.25">
      <c r="A69" s="16">
        <v>44214</v>
      </c>
      <c r="B69" s="16" t="s">
        <v>43</v>
      </c>
      <c r="C69" s="14"/>
      <c r="D69" s="33" t="s">
        <v>76</v>
      </c>
      <c r="E69" s="35" t="s">
        <v>77</v>
      </c>
      <c r="F69" s="36">
        <v>791</v>
      </c>
      <c r="G69" s="7">
        <v>0.25</v>
      </c>
      <c r="H69" s="4">
        <f t="shared" si="5"/>
        <v>593.25</v>
      </c>
      <c r="I69" s="18" t="str">
        <f>IF(Tableau32[[#This Row],[Fin action]]="JES","ACTUEL",IF(Tableau32[[#This Row],[Fin action]]&gt;0,"FIN","ACTUEL"))</f>
        <v>ACTUEL</v>
      </c>
      <c r="J69" s="26" t="s">
        <v>105</v>
      </c>
    </row>
    <row r="70" spans="1:10" hidden="1" x14ac:dyDescent="0.25">
      <c r="A70" s="16">
        <v>44235</v>
      </c>
      <c r="B70" s="14">
        <v>44286</v>
      </c>
      <c r="C70" s="14">
        <v>44286</v>
      </c>
      <c r="D70" t="s">
        <v>79</v>
      </c>
      <c r="E70" s="2" t="s">
        <v>80</v>
      </c>
      <c r="F70" s="20">
        <v>546</v>
      </c>
      <c r="G70" s="7">
        <v>0.25</v>
      </c>
      <c r="H70" s="4">
        <f t="shared" si="5"/>
        <v>409.5</v>
      </c>
      <c r="I70" s="18" t="str">
        <f>IF(Tableau32[[#This Row],[Fin action]]="JES","ACTUEL",IF(Tableau32[[#This Row],[Fin action]]&gt;0,"FIN","ACTUEL"))</f>
        <v>FIN</v>
      </c>
      <c r="J70" s="26"/>
    </row>
    <row r="71" spans="1:10" hidden="1" x14ac:dyDescent="0.25">
      <c r="A71" s="16">
        <v>44235</v>
      </c>
      <c r="B71" s="14">
        <v>44286</v>
      </c>
      <c r="C71" s="14">
        <v>44286</v>
      </c>
      <c r="D71" t="s">
        <v>81</v>
      </c>
      <c r="E71" s="2" t="s">
        <v>82</v>
      </c>
      <c r="F71" s="20">
        <v>558</v>
      </c>
      <c r="G71" s="7">
        <v>0.25</v>
      </c>
      <c r="H71" s="4">
        <f t="shared" si="5"/>
        <v>418.5</v>
      </c>
      <c r="I71" s="18" t="str">
        <f>IF(Tableau32[[#This Row],[Fin action]]="JES","ACTUEL",IF(Tableau32[[#This Row],[Fin action]]&gt;0,"FIN","ACTUEL"))</f>
        <v>FIN</v>
      </c>
      <c r="J71" s="26"/>
    </row>
    <row r="72" spans="1:10" x14ac:dyDescent="0.25">
      <c r="A72" s="17">
        <v>44409</v>
      </c>
      <c r="B72" s="17"/>
      <c r="C72" s="14"/>
      <c r="D72" s="35" t="s">
        <v>106</v>
      </c>
      <c r="E72" s="35" t="s">
        <v>85</v>
      </c>
      <c r="F72" s="37">
        <v>633</v>
      </c>
      <c r="G72" s="7">
        <v>0.4</v>
      </c>
      <c r="H72" s="4">
        <f t="shared" si="5"/>
        <v>379.8</v>
      </c>
      <c r="I72" s="19" t="str">
        <f>IF(Tableau32[[#This Row],[Fin action]]="JES","ACTUEL",IF(Tableau32[[#This Row],[Fin action]]&gt;0,"FIN","ACTUEL"))</f>
        <v>ACTUEL</v>
      </c>
      <c r="J72" s="26" t="s">
        <v>105</v>
      </c>
    </row>
    <row r="73" spans="1:10" x14ac:dyDescent="0.25">
      <c r="A73" s="17"/>
      <c r="C73" s="13"/>
      <c r="D73" s="22"/>
      <c r="E73" s="22"/>
      <c r="F73" s="12"/>
      <c r="G73" s="7"/>
      <c r="I73" s="23"/>
    </row>
    <row r="74" spans="1:10" x14ac:dyDescent="0.25">
      <c r="A74" s="17"/>
      <c r="C74" s="13"/>
      <c r="D74" s="22"/>
      <c r="E74" s="22"/>
      <c r="F74" s="12"/>
      <c r="G74" s="7"/>
      <c r="I74" s="23"/>
    </row>
  </sheetData>
  <mergeCells count="1">
    <mergeCell ref="C2:D2"/>
  </mergeCells>
  <conditionalFormatting sqref="I1:I1048576">
    <cfRule type="cellIs" dxfId="8" priority="2" operator="equal">
      <formula>"FIN"</formula>
    </cfRule>
  </conditionalFormatting>
  <hyperlinks>
    <hyperlink ref="J69" r:id="rId1" xr:uid="{F390BE9E-B604-4954-AA8F-19FD04588BE6}"/>
    <hyperlink ref="J72" r:id="rId2" xr:uid="{C3CEA7A6-D935-4F29-A63E-E7CB72DC96EB}"/>
  </hyperlinks>
  <pageMargins left="0.7" right="0.7" top="0.75" bottom="0.75" header="0.3" footer="0.3"/>
  <pageSetup paperSize="9" scale="72" orientation="landscape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D37D7-5FF8-41FB-8FBA-264980DFF281}">
  <sheetPr>
    <tabColor rgb="FFFF0000"/>
    <pageSetUpPr fitToPage="1"/>
  </sheetPr>
  <dimension ref="A2:K54"/>
  <sheetViews>
    <sheetView workbookViewId="0">
      <selection activeCell="C52" sqref="C52"/>
    </sheetView>
  </sheetViews>
  <sheetFormatPr baseColWidth="10" defaultRowHeight="15" x14ac:dyDescent="0.25"/>
  <cols>
    <col min="1" max="1" width="15.42578125" style="16" customWidth="1"/>
    <col min="2" max="2" width="10.140625" style="16" bestFit="1" customWidth="1"/>
    <col min="3" max="3" width="17.42578125" style="9" customWidth="1"/>
    <col min="4" max="4" width="21.28515625" bestFit="1" customWidth="1"/>
    <col min="5" max="5" width="43.7109375" bestFit="1" customWidth="1"/>
    <col min="6" max="6" width="14.7109375" bestFit="1" customWidth="1"/>
    <col min="7" max="7" width="12.7109375" style="5" customWidth="1"/>
    <col min="8" max="8" width="16.42578125" style="4" bestFit="1" customWidth="1"/>
    <col min="9" max="9" width="16.5703125" customWidth="1"/>
  </cols>
  <sheetData>
    <row r="2" spans="1:11" ht="57.6" customHeight="1" x14ac:dyDescent="0.25">
      <c r="A2" s="24" t="s">
        <v>90</v>
      </c>
      <c r="C2" s="38" t="s">
        <v>91</v>
      </c>
      <c r="D2" s="38"/>
    </row>
    <row r="4" spans="1:11" s="1" customFormat="1" ht="37.15" customHeight="1" x14ac:dyDescent="0.25">
      <c r="A4" s="15" t="s">
        <v>13</v>
      </c>
      <c r="B4" s="15" t="s">
        <v>14</v>
      </c>
      <c r="C4" s="10" t="s">
        <v>52</v>
      </c>
      <c r="D4" s="1" t="s">
        <v>2</v>
      </c>
      <c r="E4" s="1" t="s">
        <v>3</v>
      </c>
      <c r="F4" s="1" t="s">
        <v>4</v>
      </c>
      <c r="G4" s="11" t="s">
        <v>5</v>
      </c>
      <c r="H4" s="4" t="s">
        <v>6</v>
      </c>
      <c r="I4" t="s">
        <v>54</v>
      </c>
      <c r="J4" s="1" t="s">
        <v>99</v>
      </c>
      <c r="K4"/>
    </row>
    <row r="5" spans="1:11" ht="15.75" thickBot="1" x14ac:dyDescent="0.3">
      <c r="A5" s="16">
        <v>45336</v>
      </c>
      <c r="B5" s="16" t="s">
        <v>43</v>
      </c>
      <c r="D5" s="28">
        <v>6012340</v>
      </c>
      <c r="E5" t="s">
        <v>100</v>
      </c>
      <c r="F5" s="3">
        <v>309.3</v>
      </c>
      <c r="G5" s="7">
        <v>0.25</v>
      </c>
      <c r="H5" s="4">
        <v>232</v>
      </c>
      <c r="I5" t="str">
        <f>IF(Tableau3[[#This Row],[Fin action]]="JES","ACTUEL",IF(Tableau3[[#This Row],[Fin action]]&gt;0,"FIN","ACTUEL"))</f>
        <v>ACTUEL</v>
      </c>
      <c r="J5" s="26" t="str">
        <f>HYPERLINK("https://www.promerka.com/fr/tables-de-bureaux/669-table-de-bureau-pieds-en-t-740x1600x800mm.html", "lien")</f>
        <v>lien</v>
      </c>
    </row>
    <row r="6" spans="1:11" ht="15.75" thickBot="1" x14ac:dyDescent="0.3">
      <c r="A6" s="16">
        <v>45226</v>
      </c>
      <c r="B6" s="16" t="s">
        <v>43</v>
      </c>
      <c r="C6" s="13"/>
      <c r="D6" t="s">
        <v>98</v>
      </c>
      <c r="E6" t="s">
        <v>97</v>
      </c>
      <c r="F6" s="3">
        <v>321</v>
      </c>
      <c r="G6" s="6">
        <v>0.25</v>
      </c>
      <c r="H6" s="4">
        <v>240.75</v>
      </c>
      <c r="I6" t="str">
        <f>IF(Tableau3[[#This Row],[Fin action]]="JES","ACTUEL",IF(Tableau3[[#This Row],[Fin action]]&gt;0,"FIN","ACTUEL"))</f>
        <v>ACTUEL</v>
      </c>
      <c r="J6" s="25" t="str">
        <f>HYPERLINK("https://www.promerka.com/fr/tables-de-bureaux/670-table-de-bureau-pieds-en-t-740x1800x800mm.html", "lien")</f>
        <v>lien</v>
      </c>
    </row>
    <row r="7" spans="1:11" x14ac:dyDescent="0.25">
      <c r="A7" s="16">
        <v>45226</v>
      </c>
      <c r="B7" s="16" t="s">
        <v>43</v>
      </c>
      <c r="D7" t="s">
        <v>96</v>
      </c>
      <c r="E7" t="s">
        <v>97</v>
      </c>
      <c r="F7" s="3">
        <v>312</v>
      </c>
      <c r="G7" s="7">
        <v>0.25</v>
      </c>
      <c r="H7" s="4">
        <v>234</v>
      </c>
      <c r="I7" t="str">
        <f>IF(Tableau3[[#This Row],[Fin action]]="JES","ACTUEL",IF(Tableau3[[#This Row],[Fin action]]&gt;0,"FIN","ACTUEL"))</f>
        <v>ACTUEL</v>
      </c>
      <c r="J7" s="26" t="str">
        <f t="shared" ref="J7" si="0">HYPERLINK("https://www.promerka.com/fr/tables-de-bureaux/669-table-de-bureau-pieds-en-t-740x1600x800mm.html", "lien")</f>
        <v>lien</v>
      </c>
    </row>
    <row r="8" spans="1:11" x14ac:dyDescent="0.25">
      <c r="A8" s="16">
        <v>45226</v>
      </c>
      <c r="B8" s="16" t="s">
        <v>43</v>
      </c>
      <c r="C8" s="13"/>
      <c r="D8" t="s">
        <v>93</v>
      </c>
      <c r="E8" t="s">
        <v>94</v>
      </c>
      <c r="F8" s="3">
        <v>291</v>
      </c>
      <c r="G8" s="6">
        <v>0.25</v>
      </c>
      <c r="H8" s="4">
        <v>218.25</v>
      </c>
      <c r="I8" t="str">
        <f>IF(Tableau3[[#This Row],[Fin action]]="JES","ACTUEL",IF(Tableau3[[#This Row],[Fin action]]&gt;0,"FIN","ACTUEL"))</f>
        <v>ACTUEL</v>
      </c>
      <c r="J8" s="26" t="str">
        <f>HYPERLINK("https://www.promerka.com/fr/tables-de-bureaux/327-table-de-bureau-4-pieds-740x1800x800mm.html", "lien")</f>
        <v>lien</v>
      </c>
    </row>
    <row r="9" spans="1:11" x14ac:dyDescent="0.25">
      <c r="A9" s="16">
        <v>45226</v>
      </c>
      <c r="B9" s="16" t="s">
        <v>43</v>
      </c>
      <c r="C9" s="13"/>
      <c r="D9" t="s">
        <v>92</v>
      </c>
      <c r="E9" t="s">
        <v>95</v>
      </c>
      <c r="F9" s="3">
        <v>270</v>
      </c>
      <c r="G9" s="6">
        <v>0.25</v>
      </c>
      <c r="H9" s="4">
        <v>202.5</v>
      </c>
      <c r="I9" t="str">
        <f>IF(Tableau3[[#This Row],[Fin action]]="JES","ACTUEL",IF(Tableau3[[#This Row],[Fin action]]&gt;0,"FIN","ACTUEL"))</f>
        <v>ACTUEL</v>
      </c>
      <c r="J9" s="26" t="str">
        <f>HYPERLINK("https://www.promerka.com/fr/tables-de-bureaux/38-table-de-bureau-plateau-4-pieds-740x1600x800mm.html", "lien")</f>
        <v>lien</v>
      </c>
    </row>
    <row r="10" spans="1:11" x14ac:dyDescent="0.25">
      <c r="A10" s="16">
        <v>43880</v>
      </c>
      <c r="B10" s="16" t="s">
        <v>43</v>
      </c>
      <c r="C10" s="13"/>
      <c r="D10" t="s">
        <v>1</v>
      </c>
      <c r="E10" t="s">
        <v>0</v>
      </c>
      <c r="F10" s="3">
        <v>83.5</v>
      </c>
      <c r="G10" s="6">
        <v>0.5</v>
      </c>
      <c r="H10" s="4">
        <f t="shared" ref="H10:H42" si="1">F10*(1-G10)</f>
        <v>41.75</v>
      </c>
      <c r="I10" t="str">
        <f>IF(Tableau3[[#This Row],[Fin action]]="JES","ACTUEL",IF(Tableau3[[#This Row],[Fin action]]&gt;0,"FIN","ACTUEL"))</f>
        <v>ACTUEL</v>
      </c>
      <c r="J10" s="26"/>
    </row>
    <row r="11" spans="1:11" hidden="1" x14ac:dyDescent="0.25">
      <c r="A11" s="16">
        <v>43892</v>
      </c>
      <c r="B11" s="16">
        <v>44110</v>
      </c>
      <c r="C11" s="13"/>
      <c r="D11" t="s">
        <v>9</v>
      </c>
      <c r="E11" t="s">
        <v>10</v>
      </c>
      <c r="F11" s="3">
        <v>25</v>
      </c>
      <c r="G11" s="6">
        <v>0.25</v>
      </c>
      <c r="H11" s="4">
        <f t="shared" si="1"/>
        <v>18.75</v>
      </c>
      <c r="I11" t="str">
        <f>IF(Tableau3[[#This Row],[Fin action]]="JES","ACTUEL",IF(Tableau3[[#This Row],[Fin action]]&gt;0,"FIN","ACTUEL"))</f>
        <v>FIN</v>
      </c>
      <c r="J11" s="26"/>
    </row>
    <row r="12" spans="1:11" hidden="1" x14ac:dyDescent="0.25">
      <c r="A12" s="16">
        <v>43986</v>
      </c>
      <c r="B12" s="16">
        <v>44196</v>
      </c>
      <c r="C12" s="13"/>
      <c r="D12" t="s">
        <v>28</v>
      </c>
      <c r="E12" t="s">
        <v>27</v>
      </c>
      <c r="F12" s="3">
        <v>570</v>
      </c>
      <c r="G12" s="7">
        <v>0.5</v>
      </c>
      <c r="H12" s="4">
        <f t="shared" si="1"/>
        <v>285</v>
      </c>
      <c r="I12" t="str">
        <f>IF(Tableau3[[#This Row],[Fin action]]="JES","ACTUEL",IF(Tableau3[[#This Row],[Fin action]]&gt;0,"FIN","ACTUEL"))</f>
        <v>FIN</v>
      </c>
      <c r="J12" s="26"/>
    </row>
    <row r="13" spans="1:11" hidden="1" x14ac:dyDescent="0.25">
      <c r="A13" s="16">
        <v>43990</v>
      </c>
      <c r="B13" s="16">
        <v>43992</v>
      </c>
      <c r="D13" t="s">
        <v>16</v>
      </c>
      <c r="E13" t="s">
        <v>29</v>
      </c>
      <c r="F13" s="3">
        <v>99.8</v>
      </c>
      <c r="G13" s="7">
        <v>0.25</v>
      </c>
      <c r="H13" s="4">
        <f t="shared" si="1"/>
        <v>74.849999999999994</v>
      </c>
      <c r="I13" t="str">
        <f>IF(Tableau3[[#This Row],[Fin action]]="JES","ACTUEL",IF(Tableau3[[#This Row],[Fin action]]&gt;0,"FIN","ACTUEL"))</f>
        <v>FIN</v>
      </c>
      <c r="J13" s="26"/>
    </row>
    <row r="14" spans="1:11" hidden="1" x14ac:dyDescent="0.25">
      <c r="A14" s="16">
        <v>43993</v>
      </c>
      <c r="B14" s="16">
        <v>44097</v>
      </c>
      <c r="D14" t="s">
        <v>32</v>
      </c>
      <c r="E14" t="s">
        <v>30</v>
      </c>
      <c r="F14" s="3">
        <v>28</v>
      </c>
      <c r="G14" s="6">
        <v>0.5</v>
      </c>
      <c r="H14" s="4">
        <f t="shared" si="1"/>
        <v>14</v>
      </c>
      <c r="I14" t="str">
        <f>IF(Tableau3[[#This Row],[Fin action]]="JES","ACTUEL",IF(Tableau3[[#This Row],[Fin action]]&gt;0,"FIN","ACTUEL"))</f>
        <v>FIN</v>
      </c>
      <c r="J14" s="26"/>
    </row>
    <row r="15" spans="1:11" hidden="1" x14ac:dyDescent="0.25">
      <c r="A15" s="16">
        <v>43993</v>
      </c>
      <c r="B15" s="16">
        <v>44196</v>
      </c>
      <c r="C15" s="13"/>
      <c r="D15" t="s">
        <v>22</v>
      </c>
      <c r="E15" t="s">
        <v>31</v>
      </c>
      <c r="F15" s="3">
        <v>78</v>
      </c>
      <c r="G15" s="7">
        <v>0.25</v>
      </c>
      <c r="H15" s="4">
        <f t="shared" si="1"/>
        <v>58.5</v>
      </c>
      <c r="I15" t="str">
        <f>IF(Tableau3[[#This Row],[Fin action]]="JES","ACTUEL",IF(Tableau3[[#This Row],[Fin action]]&gt;0,"FIN","ACTUEL"))</f>
        <v>FIN</v>
      </c>
      <c r="J15" s="26"/>
    </row>
    <row r="16" spans="1:11" hidden="1" x14ac:dyDescent="0.25">
      <c r="A16" s="16">
        <v>43999</v>
      </c>
      <c r="B16" s="16">
        <v>44196</v>
      </c>
      <c r="C16" s="13"/>
      <c r="D16" t="s">
        <v>35</v>
      </c>
      <c r="E16" t="s">
        <v>36</v>
      </c>
      <c r="F16" s="3">
        <v>39.950000000000003</v>
      </c>
      <c r="G16" s="6">
        <v>0.25</v>
      </c>
      <c r="H16" s="4">
        <f t="shared" si="1"/>
        <v>29.962500000000002</v>
      </c>
      <c r="I16" t="str">
        <f>IF(Tableau3[[#This Row],[Fin action]]="JES","ACTUEL",IF(Tableau3[[#This Row],[Fin action]]&gt;0,"FIN","ACTUEL"))</f>
        <v>FIN</v>
      </c>
      <c r="J16" s="26"/>
    </row>
    <row r="17" spans="1:10" hidden="1" x14ac:dyDescent="0.25">
      <c r="A17" s="16">
        <v>43999</v>
      </c>
      <c r="B17" s="16">
        <v>44196</v>
      </c>
      <c r="C17" s="13"/>
      <c r="D17" t="s">
        <v>34</v>
      </c>
      <c r="E17" t="s">
        <v>33</v>
      </c>
      <c r="F17" s="3">
        <v>53.25</v>
      </c>
      <c r="G17" s="6">
        <v>0.25</v>
      </c>
      <c r="H17" s="4">
        <f t="shared" si="1"/>
        <v>39.9375</v>
      </c>
      <c r="I17" t="str">
        <f>IF(Tableau3[[#This Row],[Fin action]]="JES","ACTUEL",IF(Tableau3[[#This Row],[Fin action]]&gt;0,"FIN","ACTUEL"))</f>
        <v>FIN</v>
      </c>
      <c r="J17" s="26"/>
    </row>
    <row r="18" spans="1:10" x14ac:dyDescent="0.25">
      <c r="A18" s="16">
        <v>44314</v>
      </c>
      <c r="B18" s="16" t="s">
        <v>43</v>
      </c>
      <c r="C18" s="13"/>
      <c r="D18" t="s">
        <v>39</v>
      </c>
      <c r="E18" t="s">
        <v>41</v>
      </c>
      <c r="F18" s="3">
        <v>548.9</v>
      </c>
      <c r="G18" s="7">
        <v>0.25</v>
      </c>
      <c r="H18" s="4">
        <f t="shared" si="1"/>
        <v>411.67499999999995</v>
      </c>
      <c r="I18" t="str">
        <f>IF(Tableau3[[#This Row],[Fin action]]="JES","ACTUEL",IF(Tableau3[[#This Row],[Fin action]]&gt;0,"FIN","ACTUEL"))</f>
        <v>ACTUEL</v>
      </c>
      <c r="J18" s="26"/>
    </row>
    <row r="19" spans="1:10" hidden="1" x14ac:dyDescent="0.25">
      <c r="A19" s="16">
        <v>44083</v>
      </c>
      <c r="B19" s="16">
        <v>44196</v>
      </c>
      <c r="C19" s="13"/>
      <c r="D19" t="s">
        <v>40</v>
      </c>
      <c r="E19" t="s">
        <v>38</v>
      </c>
      <c r="F19" s="3">
        <v>217.9</v>
      </c>
      <c r="G19" s="7">
        <v>0.25</v>
      </c>
      <c r="H19" s="4">
        <f t="shared" si="1"/>
        <v>163.42500000000001</v>
      </c>
      <c r="I19" t="str">
        <f>IF(Tableau3[[#This Row],[Fin action]]="JES","ACTUEL",IF(Tableau3[[#This Row],[Fin action]]&gt;0,"FIN","ACTUEL"))</f>
        <v>FIN</v>
      </c>
      <c r="J19" s="26"/>
    </row>
    <row r="20" spans="1:10" x14ac:dyDescent="0.25">
      <c r="A20" s="16">
        <v>44089</v>
      </c>
      <c r="C20" s="13"/>
      <c r="D20" t="s">
        <v>42</v>
      </c>
      <c r="E20" t="s">
        <v>70</v>
      </c>
      <c r="F20" s="3">
        <v>826</v>
      </c>
      <c r="G20" s="7">
        <v>0.49653999999999998</v>
      </c>
      <c r="H20" s="4">
        <f t="shared" si="1"/>
        <v>415.85795999999999</v>
      </c>
      <c r="I20" t="str">
        <f>IF(Tableau3[[#This Row],[Fin action]]="JES","ACTUEL",IF(Tableau3[[#This Row],[Fin action]]&gt;0,"FIN","ACTUEL"))</f>
        <v>ACTUEL</v>
      </c>
      <c r="J20" s="26"/>
    </row>
    <row r="21" spans="1:10" hidden="1" x14ac:dyDescent="0.25">
      <c r="B21" s="16">
        <v>44097</v>
      </c>
      <c r="D21" t="s">
        <v>11</v>
      </c>
      <c r="E21" t="s">
        <v>12</v>
      </c>
      <c r="F21" s="3">
        <v>23.05</v>
      </c>
      <c r="G21" s="6">
        <v>0.5</v>
      </c>
      <c r="H21" s="4">
        <f t="shared" si="1"/>
        <v>11.525</v>
      </c>
      <c r="I21" t="str">
        <f>IF(Tableau3[[#This Row],[Fin action]]="JES","ACTUEL",IF(Tableau3[[#This Row],[Fin action]]&gt;0,"FIN","ACTUEL"))</f>
        <v>FIN</v>
      </c>
      <c r="J21" s="26"/>
    </row>
    <row r="22" spans="1:10" hidden="1" x14ac:dyDescent="0.25">
      <c r="B22" s="16">
        <v>44083</v>
      </c>
      <c r="D22" t="s">
        <v>25</v>
      </c>
      <c r="E22" t="s">
        <v>26</v>
      </c>
      <c r="F22" s="3">
        <v>248.4</v>
      </c>
      <c r="G22" s="7">
        <v>0.25</v>
      </c>
      <c r="H22" s="4">
        <f t="shared" si="1"/>
        <v>186.3</v>
      </c>
      <c r="I22" t="str">
        <f>IF(Tableau3[[#This Row],[Fin action]]="JES","ACTUEL",IF(Tableau3[[#This Row],[Fin action]]&gt;0,"FIN","ACTUEL"))</f>
        <v>FIN</v>
      </c>
      <c r="J22" s="26"/>
    </row>
    <row r="23" spans="1:10" hidden="1" x14ac:dyDescent="0.25">
      <c r="B23" s="16">
        <v>44196</v>
      </c>
      <c r="C23" s="13"/>
      <c r="D23" t="s">
        <v>37</v>
      </c>
      <c r="E23" t="s">
        <v>21</v>
      </c>
      <c r="F23" s="3">
        <v>407.7</v>
      </c>
      <c r="G23" s="7">
        <v>0.25</v>
      </c>
      <c r="H23" s="4">
        <f t="shared" si="1"/>
        <v>305.77499999999998</v>
      </c>
      <c r="I23" t="str">
        <f>IF(Tableau3[[#This Row],[Fin action]]="JES","ACTUEL",IF(Tableau3[[#This Row],[Fin action]]&gt;0,"FIN","ACTUEL"))</f>
        <v>FIN</v>
      </c>
      <c r="J23" s="26"/>
    </row>
    <row r="24" spans="1:10" hidden="1" x14ac:dyDescent="0.25">
      <c r="B24" s="16">
        <v>43992</v>
      </c>
      <c r="D24" t="s">
        <v>16</v>
      </c>
      <c r="E24" t="s">
        <v>15</v>
      </c>
      <c r="F24" s="3">
        <v>99.8</v>
      </c>
      <c r="G24" s="7">
        <v>0.25</v>
      </c>
      <c r="H24" s="4">
        <f t="shared" si="1"/>
        <v>74.849999999999994</v>
      </c>
      <c r="I24" t="str">
        <f>IF(Tableau3[[#This Row],[Fin action]]="JES","ACTUEL",IF(Tableau3[[#This Row],[Fin action]]&gt;0,"FIN","ACTUEL"))</f>
        <v>FIN</v>
      </c>
      <c r="J24" s="26"/>
    </row>
    <row r="25" spans="1:10" hidden="1" x14ac:dyDescent="0.25">
      <c r="B25" s="16">
        <v>43992</v>
      </c>
      <c r="D25" t="s">
        <v>22</v>
      </c>
      <c r="E25" t="s">
        <v>15</v>
      </c>
      <c r="F25" s="3">
        <v>86.1</v>
      </c>
      <c r="G25" s="7">
        <v>0.25</v>
      </c>
      <c r="H25" s="4">
        <f t="shared" si="1"/>
        <v>64.574999999999989</v>
      </c>
      <c r="I25" t="str">
        <f>IF(Tableau3[[#This Row],[Fin action]]="JES","ACTUEL",IF(Tableau3[[#This Row],[Fin action]]&gt;0,"FIN","ACTUEL"))</f>
        <v>FIN</v>
      </c>
      <c r="J25" s="26"/>
    </row>
    <row r="26" spans="1:10" x14ac:dyDescent="0.25">
      <c r="B26" s="16" t="s">
        <v>43</v>
      </c>
      <c r="C26" s="13"/>
      <c r="D26" t="s">
        <v>20</v>
      </c>
      <c r="E26" t="s">
        <v>101</v>
      </c>
      <c r="F26" s="3">
        <v>106.15</v>
      </c>
      <c r="G26" s="7">
        <v>0.5</v>
      </c>
      <c r="H26" s="4">
        <f t="shared" si="1"/>
        <v>53.075000000000003</v>
      </c>
      <c r="I26" t="str">
        <f>IF(Tableau3[[#This Row],[Fin action]]="JES","ACTUEL",IF(Tableau3[[#This Row],[Fin action]]&gt;0,"FIN","ACTUEL"))</f>
        <v>ACTUEL</v>
      </c>
      <c r="J26" s="26"/>
    </row>
    <row r="27" spans="1:10" hidden="1" x14ac:dyDescent="0.25">
      <c r="B27" s="16">
        <v>44110</v>
      </c>
      <c r="C27" s="13"/>
      <c r="D27" t="s">
        <v>24</v>
      </c>
      <c r="E27" t="s">
        <v>23</v>
      </c>
      <c r="F27" s="3">
        <v>437.1</v>
      </c>
      <c r="G27" s="6">
        <v>0.25</v>
      </c>
      <c r="H27" s="4">
        <f t="shared" si="1"/>
        <v>327.82500000000005</v>
      </c>
      <c r="I27" t="str">
        <f>IF(Tableau3[[#This Row],[Fin action]]="JES","ACTUEL",IF(Tableau3[[#This Row],[Fin action]]&gt;0,"FIN","ACTUEL"))</f>
        <v>FIN</v>
      </c>
      <c r="J27" s="26"/>
    </row>
    <row r="28" spans="1:10" hidden="1" x14ac:dyDescent="0.25">
      <c r="B28" s="16">
        <v>43992</v>
      </c>
      <c r="D28" t="s">
        <v>8</v>
      </c>
      <c r="E28" t="s">
        <v>7</v>
      </c>
      <c r="F28" s="3">
        <v>185.6</v>
      </c>
      <c r="G28" s="6">
        <v>0.5</v>
      </c>
      <c r="H28" s="4">
        <f t="shared" si="1"/>
        <v>92.8</v>
      </c>
      <c r="I28" t="str">
        <f>IF(Tableau3[[#This Row],[Fin action]]="JES","ACTUEL",IF(Tableau3[[#This Row],[Fin action]]&gt;0,"FIN","ACTUEL"))</f>
        <v>FIN</v>
      </c>
      <c r="J28" s="26"/>
    </row>
    <row r="29" spans="1:10" hidden="1" x14ac:dyDescent="0.25">
      <c r="B29" s="16">
        <v>43992</v>
      </c>
      <c r="D29" t="s">
        <v>18</v>
      </c>
      <c r="E29" t="s">
        <v>17</v>
      </c>
      <c r="F29" s="3">
        <v>249</v>
      </c>
      <c r="G29" s="6">
        <v>0.5</v>
      </c>
      <c r="H29" s="4">
        <f t="shared" si="1"/>
        <v>124.5</v>
      </c>
      <c r="I29" t="str">
        <f>IF(Tableau3[[#This Row],[Fin action]]="JES","ACTUEL",IF(Tableau3[[#This Row],[Fin action]]&gt;0,"FIN","ACTUEL"))</f>
        <v>FIN</v>
      </c>
      <c r="J29" s="26"/>
    </row>
    <row r="30" spans="1:10" hidden="1" x14ac:dyDescent="0.25">
      <c r="B30" s="16">
        <v>43992</v>
      </c>
      <c r="D30" t="s">
        <v>19</v>
      </c>
      <c r="E30" t="s">
        <v>17</v>
      </c>
      <c r="F30" s="3">
        <v>491.4</v>
      </c>
      <c r="G30" s="6">
        <v>0.5</v>
      </c>
      <c r="H30" s="4">
        <f t="shared" si="1"/>
        <v>245.7</v>
      </c>
      <c r="I30" t="str">
        <f>IF(Tableau3[[#This Row],[Fin action]]="JES","ACTUEL",IF(Tableau3[[#This Row],[Fin action]]&gt;0,"FIN","ACTUEL"))</f>
        <v>FIN</v>
      </c>
      <c r="J30" s="26"/>
    </row>
    <row r="31" spans="1:10" hidden="1" x14ac:dyDescent="0.25">
      <c r="B31" s="16">
        <v>44408</v>
      </c>
      <c r="C31" s="13">
        <v>44408</v>
      </c>
      <c r="D31" t="s">
        <v>44</v>
      </c>
      <c r="E31" t="s">
        <v>45</v>
      </c>
      <c r="F31" s="3">
        <v>299</v>
      </c>
      <c r="G31" s="6">
        <v>0.33444000000000002</v>
      </c>
      <c r="H31" s="4">
        <f t="shared" si="1"/>
        <v>199.00243999999998</v>
      </c>
      <c r="I31" t="str">
        <f>IF(Tableau3[[#This Row],[Fin action]]="JES","ACTUEL",IF(Tableau3[[#This Row],[Fin action]]&gt;0,"FIN","ACTUEL"))</f>
        <v>FIN</v>
      </c>
      <c r="J31" s="26"/>
    </row>
    <row r="32" spans="1:10" hidden="1" x14ac:dyDescent="0.25">
      <c r="A32" s="17">
        <v>44103</v>
      </c>
      <c r="B32" s="17">
        <v>44227</v>
      </c>
      <c r="C32" s="14" t="s">
        <v>53</v>
      </c>
      <c r="D32" s="2" t="s">
        <v>46</v>
      </c>
      <c r="E32" s="2" t="s">
        <v>47</v>
      </c>
      <c r="F32" s="12">
        <v>504</v>
      </c>
      <c r="G32" s="6">
        <v>0.42658000000000001</v>
      </c>
      <c r="H32" s="8">
        <f t="shared" si="1"/>
        <v>289.00368000000003</v>
      </c>
      <c r="I32" t="str">
        <f>IF(Tableau3[[#This Row],[Fin action]]="JES","ACTUEL",IF(Tableau3[[#This Row],[Fin action]]&gt;0,"FIN","ACTUEL"))</f>
        <v>FIN</v>
      </c>
      <c r="J32" s="26"/>
    </row>
    <row r="33" spans="1:10" hidden="1" x14ac:dyDescent="0.25">
      <c r="A33" s="16">
        <v>44103</v>
      </c>
      <c r="B33" s="16">
        <v>44196</v>
      </c>
      <c r="C33" s="13" t="s">
        <v>53</v>
      </c>
      <c r="D33" t="s">
        <v>48</v>
      </c>
      <c r="E33" t="s">
        <v>49</v>
      </c>
      <c r="F33" s="12">
        <v>546</v>
      </c>
      <c r="G33" s="6">
        <v>0.48901</v>
      </c>
      <c r="H33" s="8">
        <f t="shared" si="1"/>
        <v>279.00054000000006</v>
      </c>
      <c r="I33" t="str">
        <f>IF(Tableau3[[#This Row],[Fin action]]="JES","ACTUEL",IF(Tableau3[[#This Row],[Fin action]]&gt;0,"FIN","ACTUEL"))</f>
        <v>FIN</v>
      </c>
      <c r="J33" s="26"/>
    </row>
    <row r="34" spans="1:10" hidden="1" x14ac:dyDescent="0.25">
      <c r="A34" s="16">
        <v>44098</v>
      </c>
      <c r="B34" s="16">
        <v>44155</v>
      </c>
      <c r="C34" s="13"/>
      <c r="D34" t="s">
        <v>50</v>
      </c>
      <c r="E34" t="s">
        <v>51</v>
      </c>
      <c r="F34" s="12">
        <v>185.6</v>
      </c>
      <c r="G34" s="6">
        <v>0.5</v>
      </c>
      <c r="H34" s="8">
        <f t="shared" si="1"/>
        <v>92.8</v>
      </c>
      <c r="I34" t="str">
        <f>IF(Tableau3[[#This Row],[Fin action]]="JES","ACTUEL",IF(Tableau3[[#This Row],[Fin action]]&gt;0,"FIN","ACTUEL"))</f>
        <v>FIN</v>
      </c>
      <c r="J34" s="26"/>
    </row>
    <row r="35" spans="1:10" hidden="1" x14ac:dyDescent="0.25">
      <c r="A35" s="17">
        <v>44207</v>
      </c>
      <c r="B35" s="17">
        <v>44227</v>
      </c>
      <c r="C35" s="14" t="s">
        <v>66</v>
      </c>
      <c r="D35" s="2" t="s">
        <v>56</v>
      </c>
      <c r="E35" s="2" t="s">
        <v>55</v>
      </c>
      <c r="F35" s="3">
        <v>599</v>
      </c>
      <c r="G35" s="6">
        <v>0.5</v>
      </c>
      <c r="H35" s="4">
        <f t="shared" si="1"/>
        <v>299.5</v>
      </c>
      <c r="I35" s="19" t="str">
        <f>IF(Tableau3[[#This Row],[Fin action]]="JES","ACTUEL",IF(Tableau3[[#This Row],[Fin action]]&gt;0,"FIN","ACTUEL"))</f>
        <v>FIN</v>
      </c>
      <c r="J35" s="26"/>
    </row>
    <row r="36" spans="1:10" hidden="1" x14ac:dyDescent="0.25">
      <c r="A36" s="16">
        <v>44207</v>
      </c>
      <c r="B36" s="16">
        <v>44227</v>
      </c>
      <c r="C36" s="14" t="s">
        <v>65</v>
      </c>
      <c r="D36" t="s">
        <v>57</v>
      </c>
      <c r="E36" s="2" t="s">
        <v>58</v>
      </c>
      <c r="F36" s="3">
        <v>606</v>
      </c>
      <c r="G36" s="6">
        <v>0.5</v>
      </c>
      <c r="H36" s="4">
        <f t="shared" si="1"/>
        <v>303</v>
      </c>
      <c r="I36" s="18" t="str">
        <f>IF(Tableau3[[#This Row],[Fin action]]="JES","ACTUEL",IF(Tableau3[[#This Row],[Fin action]]&gt;0,"FIN","ACTUEL"))</f>
        <v>FIN</v>
      </c>
      <c r="J36" s="26"/>
    </row>
    <row r="37" spans="1:10" hidden="1" x14ac:dyDescent="0.25">
      <c r="A37" s="16">
        <v>44207</v>
      </c>
      <c r="B37" s="16">
        <v>44227</v>
      </c>
      <c r="C37" s="14" t="s">
        <v>65</v>
      </c>
      <c r="D37" t="s">
        <v>60</v>
      </c>
      <c r="E37" s="2" t="s">
        <v>59</v>
      </c>
      <c r="F37" s="3">
        <v>609</v>
      </c>
      <c r="G37" s="6">
        <v>0.5</v>
      </c>
      <c r="H37" s="4">
        <f t="shared" si="1"/>
        <v>304.5</v>
      </c>
      <c r="I37" s="18" t="str">
        <f>IF(Tableau3[[#This Row],[Fin action]]="JES","ACTUEL",IF(Tableau3[[#This Row],[Fin action]]&gt;0,"FIN","ACTUEL"))</f>
        <v>FIN</v>
      </c>
      <c r="J37" s="26"/>
    </row>
    <row r="38" spans="1:10" hidden="1" x14ac:dyDescent="0.25">
      <c r="A38" s="16">
        <v>44207</v>
      </c>
      <c r="B38" s="16">
        <v>44227</v>
      </c>
      <c r="C38" s="14" t="s">
        <v>65</v>
      </c>
      <c r="D38" t="s">
        <v>61</v>
      </c>
      <c r="E38" s="2" t="s">
        <v>62</v>
      </c>
      <c r="F38" s="3">
        <v>619</v>
      </c>
      <c r="G38" s="6">
        <v>0.5</v>
      </c>
      <c r="H38" s="4">
        <f t="shared" si="1"/>
        <v>309.5</v>
      </c>
      <c r="I38" s="18" t="str">
        <f>IF(Tableau3[[#This Row],[Fin action]]="JES","ACTUEL",IF(Tableau3[[#This Row],[Fin action]]&gt;0,"FIN","ACTUEL"))</f>
        <v>FIN</v>
      </c>
      <c r="J38" s="26"/>
    </row>
    <row r="39" spans="1:10" hidden="1" x14ac:dyDescent="0.25">
      <c r="A39" s="16">
        <v>44207</v>
      </c>
      <c r="B39" s="16">
        <v>44227</v>
      </c>
      <c r="C39" s="14" t="s">
        <v>65</v>
      </c>
      <c r="D39" t="s">
        <v>64</v>
      </c>
      <c r="E39" s="2" t="s">
        <v>63</v>
      </c>
      <c r="F39" s="3">
        <v>629</v>
      </c>
      <c r="G39" s="6">
        <v>0.5</v>
      </c>
      <c r="H39" s="4">
        <f t="shared" si="1"/>
        <v>314.5</v>
      </c>
      <c r="I39" s="18" t="str">
        <f>IF(Tableau3[[#This Row],[Fin action]]="JES","ACTUEL",IF(Tableau3[[#This Row],[Fin action]]&gt;0,"FIN","ACTUEL"))</f>
        <v>FIN</v>
      </c>
      <c r="J39" s="26"/>
    </row>
    <row r="40" spans="1:10" hidden="1" x14ac:dyDescent="0.25">
      <c r="A40" s="16">
        <v>44207</v>
      </c>
      <c r="B40" s="16">
        <v>44255</v>
      </c>
      <c r="C40" s="14"/>
      <c r="D40" t="s">
        <v>67</v>
      </c>
      <c r="E40" s="2" t="s">
        <v>68</v>
      </c>
      <c r="F40" s="20">
        <v>927.6</v>
      </c>
      <c r="G40" s="6">
        <v>0.25</v>
      </c>
      <c r="H40" s="4">
        <f t="shared" si="1"/>
        <v>695.7</v>
      </c>
      <c r="I40" s="18" t="str">
        <f>IF(Tableau3[[#This Row],[Fin action]]="JES","ACTUEL",IF(Tableau3[[#This Row],[Fin action]]&gt;0,"FIN","ACTUEL"))</f>
        <v>FIN</v>
      </c>
      <c r="J40" s="26"/>
    </row>
    <row r="41" spans="1:10" hidden="1" x14ac:dyDescent="0.25">
      <c r="A41" s="16">
        <v>44207</v>
      </c>
      <c r="B41" s="16">
        <v>44255</v>
      </c>
      <c r="C41" s="14"/>
      <c r="D41" t="s">
        <v>71</v>
      </c>
      <c r="E41" s="2" t="s">
        <v>69</v>
      </c>
      <c r="F41" s="20">
        <v>927.6</v>
      </c>
      <c r="G41" s="6">
        <v>0.25</v>
      </c>
      <c r="H41" s="4">
        <f t="shared" si="1"/>
        <v>695.7</v>
      </c>
      <c r="I41" s="18" t="str">
        <f>IF(Tableau3[[#This Row],[Fin action]]="JES","ACTUEL",IF(Tableau3[[#This Row],[Fin action]]&gt;0,"FIN","ACTUEL"))</f>
        <v>FIN</v>
      </c>
      <c r="J41" s="26"/>
    </row>
    <row r="42" spans="1:10" hidden="1" x14ac:dyDescent="0.25">
      <c r="A42" s="16">
        <v>44210</v>
      </c>
      <c r="B42" s="16">
        <v>44255</v>
      </c>
      <c r="C42" s="14"/>
      <c r="D42" t="s">
        <v>72</v>
      </c>
      <c r="E42" s="2" t="s">
        <v>73</v>
      </c>
      <c r="F42" s="20">
        <v>183</v>
      </c>
      <c r="G42" s="6">
        <v>0.25</v>
      </c>
      <c r="H42" s="4">
        <f t="shared" si="1"/>
        <v>137.25</v>
      </c>
      <c r="I42" s="18" t="str">
        <f>IF(Tableau3[[#This Row],[Fin action]]="JES","ACTUEL",IF(Tableau3[[#This Row],[Fin action]]&gt;0,"FIN","ACTUEL"))</f>
        <v>FIN</v>
      </c>
      <c r="J42" s="26"/>
    </row>
    <row r="43" spans="1:10" hidden="1" x14ac:dyDescent="0.25">
      <c r="A43" s="16">
        <v>44210</v>
      </c>
      <c r="B43" s="16">
        <v>44255</v>
      </c>
      <c r="C43" s="14"/>
      <c r="D43" t="s">
        <v>74</v>
      </c>
      <c r="E43" s="2" t="s">
        <v>75</v>
      </c>
      <c r="F43" s="20">
        <v>195</v>
      </c>
      <c r="G43" s="6">
        <v>0.25</v>
      </c>
      <c r="H43" s="4">
        <f t="shared" ref="H43:H52" si="2">F43*(1-G43)</f>
        <v>146.25</v>
      </c>
      <c r="I43" s="18" t="str">
        <f>IF(Tableau3[[#This Row],[Fin action]]="JES","ACTUEL",IF(Tableau3[[#This Row],[Fin action]]&gt;0,"FIN","ACTUEL"))</f>
        <v>FIN</v>
      </c>
      <c r="J43" s="26"/>
    </row>
    <row r="44" spans="1:10" x14ac:dyDescent="0.25">
      <c r="A44" s="16">
        <v>44214</v>
      </c>
      <c r="B44" s="16" t="s">
        <v>43</v>
      </c>
      <c r="C44" s="14"/>
      <c r="D44" t="s">
        <v>76</v>
      </c>
      <c r="E44" s="2" t="s">
        <v>77</v>
      </c>
      <c r="F44" s="20">
        <v>692</v>
      </c>
      <c r="G44" s="6">
        <v>0.33423999999999998</v>
      </c>
      <c r="H44" s="4">
        <f t="shared" si="2"/>
        <v>460.70591999999999</v>
      </c>
      <c r="I44" s="18" t="str">
        <f>IF(Tableau3[[#This Row],[Fin action]]="JES","ACTUEL",IF(Tableau3[[#This Row],[Fin action]]&gt;0,"FIN","ACTUEL"))</f>
        <v>ACTUEL</v>
      </c>
      <c r="J44" s="26"/>
    </row>
    <row r="45" spans="1:10" x14ac:dyDescent="0.25">
      <c r="A45" s="16">
        <v>44216</v>
      </c>
      <c r="C45" s="14"/>
      <c r="D45" t="s">
        <v>78</v>
      </c>
      <c r="E45" s="2" t="s">
        <v>83</v>
      </c>
      <c r="F45" s="20">
        <v>181.15</v>
      </c>
      <c r="G45" s="6">
        <v>0.25</v>
      </c>
      <c r="H45" s="4">
        <f t="shared" si="2"/>
        <v>135.86250000000001</v>
      </c>
      <c r="I45" s="18" t="str">
        <f>IF(Tableau3[[#This Row],[Fin action]]="JES","ACTUEL",IF(Tableau3[[#This Row],[Fin action]]&gt;0,"FIN","ACTUEL"))</f>
        <v>ACTUEL</v>
      </c>
      <c r="J45" s="26"/>
    </row>
    <row r="46" spans="1:10" hidden="1" x14ac:dyDescent="0.25">
      <c r="A46" s="16">
        <v>44235</v>
      </c>
      <c r="B46" s="14">
        <v>44286</v>
      </c>
      <c r="C46" s="14">
        <v>44286</v>
      </c>
      <c r="D46" t="s">
        <v>79</v>
      </c>
      <c r="E46" s="2" t="s">
        <v>80</v>
      </c>
      <c r="F46" s="20">
        <v>546</v>
      </c>
      <c r="G46" s="6">
        <v>0.25</v>
      </c>
      <c r="H46" s="4">
        <f>F46*(1-G46)</f>
        <v>409.5</v>
      </c>
      <c r="I46" s="18" t="str">
        <f>IF(Tableau3[[#This Row],[Fin action]]="JES","ACTUEL",IF(Tableau3[[#This Row],[Fin action]]&gt;0,"FIN","ACTUEL"))</f>
        <v>FIN</v>
      </c>
      <c r="J46" s="26"/>
    </row>
    <row r="47" spans="1:10" hidden="1" x14ac:dyDescent="0.25">
      <c r="A47" s="16">
        <v>44235</v>
      </c>
      <c r="B47" s="14">
        <v>44286</v>
      </c>
      <c r="C47" s="14">
        <v>44286</v>
      </c>
      <c r="D47" t="s">
        <v>81</v>
      </c>
      <c r="E47" s="2" t="s">
        <v>82</v>
      </c>
      <c r="F47" s="20">
        <v>558</v>
      </c>
      <c r="G47" s="6">
        <v>0.25</v>
      </c>
      <c r="H47" s="4">
        <f t="shared" si="2"/>
        <v>418.5</v>
      </c>
      <c r="I47" s="18" t="str">
        <f>IF(Tableau3[[#This Row],[Fin action]]="JES","ACTUEL",IF(Tableau3[[#This Row],[Fin action]]&gt;0,"FIN","ACTUEL"))</f>
        <v>FIN</v>
      </c>
      <c r="J47" s="26"/>
    </row>
    <row r="48" spans="1:10" x14ac:dyDescent="0.25">
      <c r="A48" s="17">
        <v>44409</v>
      </c>
      <c r="B48" s="17"/>
      <c r="C48" s="14"/>
      <c r="D48" s="2" t="s">
        <v>84</v>
      </c>
      <c r="E48" s="2" t="s">
        <v>85</v>
      </c>
      <c r="F48" s="12">
        <v>551.1</v>
      </c>
      <c r="G48" s="6">
        <v>0.25</v>
      </c>
      <c r="H48" s="4">
        <f t="shared" si="2"/>
        <v>413.32500000000005</v>
      </c>
      <c r="I48" s="19" t="str">
        <f>IF(Tableau3[[#This Row],[Fin action]]="JES","ACTUEL",IF(Tableau3[[#This Row],[Fin action]]&gt;0,"FIN","ACTUEL"))</f>
        <v>ACTUEL</v>
      </c>
      <c r="J48" s="26"/>
    </row>
    <row r="49" spans="1:10" s="22" customFormat="1" x14ac:dyDescent="0.25">
      <c r="A49" s="17">
        <v>44453</v>
      </c>
      <c r="B49" s="13"/>
      <c r="C49" s="13"/>
      <c r="D49" s="22">
        <v>1117</v>
      </c>
      <c r="E49" s="22" t="s">
        <v>87</v>
      </c>
      <c r="F49" s="12">
        <v>664</v>
      </c>
      <c r="G49" s="6">
        <v>0.25</v>
      </c>
      <c r="H49" s="4">
        <f t="shared" si="2"/>
        <v>498</v>
      </c>
      <c r="I49" s="22" t="str">
        <f>IF(Tableau3[[#This Row],[Fin action]]="JES","ACTUEL",IF(Tableau3[[#This Row],[Fin action]]&gt;0,"FIN","ACTUEL"))</f>
        <v>ACTUEL</v>
      </c>
      <c r="J49" s="27"/>
    </row>
    <row r="50" spans="1:10" x14ac:dyDescent="0.25">
      <c r="A50" s="17">
        <v>44453</v>
      </c>
      <c r="C50" s="13"/>
      <c r="D50" s="22">
        <v>1118</v>
      </c>
      <c r="E50" s="22" t="s">
        <v>88</v>
      </c>
      <c r="F50" s="12">
        <v>505.35</v>
      </c>
      <c r="G50" s="6">
        <v>0.25</v>
      </c>
      <c r="H50" s="4">
        <f t="shared" si="2"/>
        <v>379.01250000000005</v>
      </c>
      <c r="I50" s="23" t="str">
        <f>IF(Tableau3[[#This Row],[Fin action]]="JES","ACTUEL",IF(Tableau3[[#This Row],[Fin action]]&gt;0,"FIN","ACTUEL"))</f>
        <v>ACTUEL</v>
      </c>
      <c r="J50" s="26"/>
    </row>
    <row r="51" spans="1:10" x14ac:dyDescent="0.25">
      <c r="A51" s="17">
        <v>44453</v>
      </c>
      <c r="C51" s="13"/>
      <c r="D51" s="22">
        <v>1071</v>
      </c>
      <c r="E51" s="22" t="s">
        <v>86</v>
      </c>
      <c r="F51" s="12">
        <v>584</v>
      </c>
      <c r="G51" s="7">
        <v>0.25</v>
      </c>
      <c r="H51" s="4">
        <f t="shared" si="2"/>
        <v>438</v>
      </c>
      <c r="I51" s="23" t="str">
        <f>IF(Tableau3[[#This Row],[Fin action]]="JES","ACTUEL",IF(Tableau3[[#This Row],[Fin action]]&gt;0,"FIN","ACTUEL"))</f>
        <v>ACTUEL</v>
      </c>
      <c r="J51" s="26"/>
    </row>
    <row r="52" spans="1:10" x14ac:dyDescent="0.25">
      <c r="A52" s="17">
        <v>44453</v>
      </c>
      <c r="C52" s="13"/>
      <c r="D52" s="22">
        <v>1088</v>
      </c>
      <c r="E52" s="22" t="s">
        <v>89</v>
      </c>
      <c r="F52" s="12">
        <v>518.70000000000005</v>
      </c>
      <c r="G52" s="21">
        <v>0.25</v>
      </c>
      <c r="H52" s="4">
        <f t="shared" si="2"/>
        <v>389.02500000000003</v>
      </c>
      <c r="I52" s="23" t="str">
        <f>IF(Tableau3[[#This Row],[Fin action]]="JES","ACTUEL",IF(Tableau3[[#This Row],[Fin action]]&gt;0,"FIN","ACTUEL"))</f>
        <v>ACTUEL</v>
      </c>
      <c r="J52" s="26"/>
    </row>
    <row r="53" spans="1:10" x14ac:dyDescent="0.25">
      <c r="A53" s="17"/>
      <c r="C53" s="13"/>
      <c r="D53" s="22"/>
      <c r="E53" s="22"/>
      <c r="F53" s="12"/>
      <c r="G53" s="7"/>
      <c r="I53" s="23"/>
    </row>
    <row r="54" spans="1:10" x14ac:dyDescent="0.25">
      <c r="A54" s="17"/>
      <c r="C54" s="13"/>
      <c r="D54" s="22"/>
      <c r="E54" s="22"/>
      <c r="F54" s="12"/>
      <c r="G54" s="7"/>
      <c r="I54" s="23"/>
    </row>
  </sheetData>
  <mergeCells count="1">
    <mergeCell ref="C2:D2"/>
  </mergeCells>
  <conditionalFormatting sqref="I50:I1048576 I1:I48">
    <cfRule type="cellIs" dxfId="18" priority="2" operator="equal">
      <formula>"FIN"</formula>
    </cfRule>
  </conditionalFormatting>
  <conditionalFormatting sqref="I49">
    <cfRule type="cellIs" dxfId="17" priority="1" operator="equal">
      <formula>"FIN"</formula>
    </cfRule>
  </conditionalFormatting>
  <pageMargins left="0.7" right="0.7" top="0.75" bottom="0.75" header="0.3" footer="0.3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D A A B Q S w M E F A A C A A g A L W w w U V K E w V q q A A A A + A A A A B I A H A B D b 2 5 m a W c v U G F j a 2 F n Z S 5 4 b W w g o h g A K K A U A A A A A A A A A A A A A A A A A A A A A A A A A A A A h Y 9 L D o I w F E W 3 Q j q n j 4 8 f J I 8 y Y O J A E h M T 4 7 S B A o 1 Q T C n C 3 h y 4 J L c g i a L O H N 6 b c 5 N z H 7 c 7 x m N T W 1 e h O 9 m q i L j U I Z Z Q W Z t L V U a k N 4 U d k J j h n m d n X g p r g l U X j p 2 M S G X M J Q Q Y h o E O P m 1 1 C Z 7 j u H B K d 4 e s E g 2 3 p e o M V 5 k g n 1 X + f 0 U Y H l 8 y z K O B T 5 f B Z k H X K x d h r j G V 6 o t 4 k z F 1 E H 5 K T P r a 9 F q w Q t v J F m G O C O 8 X 7 A l Q S w M E F A A C A A g A L W w w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1 s M F E o i k e 4 D g A A A B E A A A A T A B w A R m 9 y b X V s Y X M v U 2 V j d G l v b j E u b S C i G A A o o B Q A A A A A A A A A A A A A A A A A A A A A A A A A A A A r T k 0 u y c z P U w i G 0 I b W A F B L A Q I t A B Q A A g A I A C 1 s M F F S h M F a q g A A A P g A A A A S A A A A A A A A A A A A A A A A A A A A A A B D b 2 5 m a W c v U G F j a 2 F n Z S 5 4 b W x Q S w E C L Q A U A A I A C A A t b D B R D 8 r p q 6 Q A A A D p A A A A E w A A A A A A A A A A A A A A A A D 2 A A A A W 0 N v b n R l b n R f V H l w Z X N d L n h t b F B L A Q I t A B Q A A g A I A C 1 s M F E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b H k 9 4 r 9 H c Q o G N Q i f J P W + + A A A A A A I A A A A A A A N m A A D A A A A A E A A A A O 8 d 8 y f t o M m b 2 M F 2 L G W b e 4 s A A A A A B I A A A K A A A A A Q A A A A K k 7 y I O 3 f A F m 6 X x k e z o N T 5 1 A A A A D U 4 X a h x q Y g p C W 9 A + o q f D S G a A N D 8 G / W 8 6 Z s S b D H w G W 1 K K j 6 2 i X q + 6 u c X w 5 J f G u Q 1 L f u 3 T 4 I V 7 d Q U z e t p O L B J I b q N o 1 i B h y r 6 2 b 9 W Y K s 4 v N I X R Q A A A B / F f l c P e 9 U 6 m a M u x K Q j I W E 0 T E C 6 A = = < / D a t a M a s h u p > 
</file>

<file path=customXml/itemProps1.xml><?xml version="1.0" encoding="utf-8"?>
<ds:datastoreItem xmlns:ds="http://schemas.openxmlformats.org/officeDocument/2006/customXml" ds:itemID="{CC437ABD-0F73-446E-AA99-6C16DFDB6DB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MàJ 26_04_2024</vt:lpstr>
      <vt:lpstr>Feuil1</vt:lpstr>
      <vt:lpstr>'MàJ 26_04_2024'!Zone_d_impression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 Schmid</cp:lastModifiedBy>
  <cp:lastPrinted>2024-04-26T09:02:07Z</cp:lastPrinted>
  <dcterms:created xsi:type="dcterms:W3CDTF">2020-02-19T06:19:57Z</dcterms:created>
  <dcterms:modified xsi:type="dcterms:W3CDTF">2024-08-23T11:51:11Z</dcterms:modified>
</cp:coreProperties>
</file>