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autoCompressPictures="0"/>
  <mc:AlternateContent xmlns:mc="http://schemas.openxmlformats.org/markup-compatibility/2006">
    <mc:Choice Requires="x15">
      <x15ac:absPath xmlns:x15ac="http://schemas.microsoft.com/office/spreadsheetml/2010/11/ac" url="E:\Datas\Logistics\"/>
    </mc:Choice>
  </mc:AlternateContent>
  <xr:revisionPtr revIDLastSave="0" documentId="13_ncr:1_{6C5CF351-2F96-4715-9720-A4FF76AFDE32}" xr6:coauthVersionLast="45" xr6:coauthVersionMax="45" xr10:uidLastSave="{00000000-0000-0000-0000-000000000000}"/>
  <bookViews>
    <workbookView xWindow="-24996" yWindow="2712" windowWidth="22632" windowHeight="11256" tabRatio="788" firstSheet="1" activeTab="11" xr2:uid="{00000000-000D-0000-FFFF-FFFF00000000}"/>
  </bookViews>
  <sheets>
    <sheet name="Jan" sheetId="14" r:id="rId1"/>
    <sheet name="Feb" sheetId="19" r:id="rId2"/>
    <sheet name="Mar" sheetId="20" r:id="rId3"/>
    <sheet name="Apr" sheetId="22" r:id="rId4"/>
    <sheet name="May" sheetId="24" r:id="rId5"/>
    <sheet name="Jun" sheetId="25" r:id="rId6"/>
    <sheet name="Jul" sheetId="26" r:id="rId7"/>
    <sheet name="Aug" sheetId="32" r:id="rId8"/>
    <sheet name="Sep" sheetId="28" r:id="rId9"/>
    <sheet name="Oct" sheetId="29" r:id="rId10"/>
    <sheet name="Nov" sheetId="30" r:id="rId11"/>
    <sheet name="Dec" sheetId="31" r:id="rId12"/>
    <sheet name="Lookup List" sheetId="15" r:id="rId13"/>
  </sheets>
  <definedNames>
    <definedName name="AprSun1">DATE(CalendarYear,4,1)-WEEKDAY(DATE(CalendarYear,4,1))+1</definedName>
    <definedName name="AugSun1">DATE(CalendarYear,8,1)-WEEKDAY(DATE(CalendarYear,8,1))+1</definedName>
    <definedName name="CalendarYear">Jan!$K$1</definedName>
    <definedName name="DecSun1">DATE(CalendarYear,12,1)-WEEKDAY(DATE(CalendarYear,12,1))+1</definedName>
    <definedName name="FebSun1">DATE(CalendarYear,2,1)-WEEKDAY(DATE(CalendarYear,2,1))+1</definedName>
    <definedName name="JanSun1">DATE(CalendarYear,1,1)-WEEKDAY(DATE(CalendarYear,1,1))+1</definedName>
    <definedName name="JulSun1">DATE(CalendarYear,7,1)-WEEKDAY(DATE(CalendarYear,7,1))+1</definedName>
    <definedName name="JunSun1">DATE(CalendarYear,6,1)-WEEKDAY(DATE(CalendarYear,6,1))+1</definedName>
    <definedName name="MarSun1">DATE(CalendarYear,3,1)-WEEKDAY(DATE(CalendarYear,3,1))+1</definedName>
    <definedName name="MaySun1">DATE(CalendarYear,5,1)-WEEKDAY(DATE(CalendarYear,5,1))+1</definedName>
    <definedName name="NovSun1">DATE(CalendarYear,11,1)-WEEKDAY(DATE(CalendarYear,11,1))+1</definedName>
    <definedName name="OctSun1">DATE(CalendarYear,10,1)-WEEKDAY(DATE(CalendarYear,10,1))+1</definedName>
    <definedName name="SepSun1">DATE(CalendarYear,9,1)-WEEKDAY(DATE(CalendarYear,9,1))+1</definedName>
    <definedName name="Year">YearLookup[]</definedName>
    <definedName name="_xlnm.Print_Area" localSheetId="0">Jan!$A$1:$H$14</definedName>
    <definedName name="_xlnm.Print_Area" localSheetId="6">Jul!$C$2:$G$12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31" l="1"/>
  <c r="C9" i="31" l="1"/>
  <c r="B1" i="31" l="1"/>
  <c r="F7" i="30" l="1"/>
  <c r="G5" i="30" l="1"/>
  <c r="I10" i="28" l="1"/>
  <c r="F7" i="25" l="1"/>
  <c r="D9" i="24" l="1"/>
  <c r="F9" i="25"/>
  <c r="G9" i="22"/>
  <c r="C9" i="20"/>
  <c r="C5" i="20"/>
  <c r="C7" i="20"/>
  <c r="B1" i="14"/>
  <c r="C5" i="30"/>
  <c r="D5" i="30"/>
  <c r="E5" i="30"/>
  <c r="F5" i="30"/>
  <c r="C7" i="30"/>
  <c r="D7" i="30"/>
  <c r="C9" i="30"/>
  <c r="D9" i="30"/>
  <c r="E9" i="30"/>
  <c r="F9" i="30"/>
  <c r="G9" i="30"/>
  <c r="E11" i="30"/>
  <c r="F11" i="30"/>
  <c r="G11" i="30"/>
  <c r="G9" i="24"/>
  <c r="C5" i="28"/>
  <c r="C9" i="29"/>
  <c r="F7" i="29"/>
  <c r="F11" i="28"/>
  <c r="E9" i="28"/>
  <c r="D9" i="28"/>
  <c r="E9" i="32"/>
  <c r="B13" i="32"/>
  <c r="H11" i="32"/>
  <c r="G11" i="32"/>
  <c r="F11" i="32"/>
  <c r="E11" i="32"/>
  <c r="D11" i="32"/>
  <c r="C11" i="32"/>
  <c r="B11" i="32"/>
  <c r="H9" i="32"/>
  <c r="G9" i="32"/>
  <c r="F9" i="32"/>
  <c r="D9" i="32"/>
  <c r="C9" i="32"/>
  <c r="B9" i="32"/>
  <c r="H7" i="32"/>
  <c r="G7" i="32"/>
  <c r="F7" i="32"/>
  <c r="E7" i="32"/>
  <c r="D7" i="32"/>
  <c r="C7" i="32"/>
  <c r="B7" i="32"/>
  <c r="H5" i="32"/>
  <c r="G5" i="32"/>
  <c r="F5" i="32"/>
  <c r="E5" i="32"/>
  <c r="D5" i="32"/>
  <c r="B5" i="32"/>
  <c r="H3" i="32"/>
  <c r="G3" i="32"/>
  <c r="F3" i="32"/>
  <c r="E3" i="32"/>
  <c r="D3" i="32"/>
  <c r="C3" i="32"/>
  <c r="B3" i="32"/>
  <c r="B1" i="32"/>
  <c r="B1" i="28"/>
  <c r="C13" i="31"/>
  <c r="B13" i="31"/>
  <c r="H11" i="31"/>
  <c r="G11" i="31"/>
  <c r="F11" i="31"/>
  <c r="D11" i="31"/>
  <c r="C11" i="31"/>
  <c r="B11" i="31"/>
  <c r="H9" i="31"/>
  <c r="G9" i="31"/>
  <c r="F9" i="31"/>
  <c r="E9" i="31"/>
  <c r="D9" i="31"/>
  <c r="B9" i="31"/>
  <c r="H7" i="31"/>
  <c r="E7" i="31"/>
  <c r="D7" i="31"/>
  <c r="C7" i="31"/>
  <c r="B7" i="31"/>
  <c r="H5" i="31"/>
  <c r="G5" i="31"/>
  <c r="F5" i="31"/>
  <c r="E5" i="31"/>
  <c r="D5" i="31"/>
  <c r="C5" i="31"/>
  <c r="B5" i="31"/>
  <c r="H3" i="31"/>
  <c r="G3" i="31"/>
  <c r="F3" i="31"/>
  <c r="E3" i="31"/>
  <c r="D3" i="31"/>
  <c r="C3" i="31"/>
  <c r="B3" i="31"/>
  <c r="B13" i="30"/>
  <c r="H11" i="30"/>
  <c r="B11" i="30"/>
  <c r="H9" i="30"/>
  <c r="B9" i="30"/>
  <c r="H7" i="30"/>
  <c r="B7" i="30"/>
  <c r="H5" i="30"/>
  <c r="B5" i="30"/>
  <c r="H3" i="30"/>
  <c r="G3" i="30"/>
  <c r="F3" i="30"/>
  <c r="E3" i="30"/>
  <c r="D3" i="30"/>
  <c r="C3" i="30"/>
  <c r="B3" i="30"/>
  <c r="B1" i="30"/>
  <c r="C13" i="29"/>
  <c r="B13" i="29"/>
  <c r="H11" i="29"/>
  <c r="G11" i="29"/>
  <c r="E11" i="29"/>
  <c r="D11" i="29"/>
  <c r="C11" i="29"/>
  <c r="B11" i="29"/>
  <c r="H9" i="29"/>
  <c r="G9" i="29"/>
  <c r="F9" i="29"/>
  <c r="E9" i="29"/>
  <c r="D9" i="29"/>
  <c r="B9" i="29"/>
  <c r="H7" i="29"/>
  <c r="G7" i="29"/>
  <c r="E7" i="29"/>
  <c r="D7" i="29"/>
  <c r="C7" i="29"/>
  <c r="B7" i="29"/>
  <c r="H5" i="29"/>
  <c r="G5" i="29"/>
  <c r="F5" i="29"/>
  <c r="E5" i="29"/>
  <c r="D5" i="29"/>
  <c r="C5" i="29"/>
  <c r="B5" i="29"/>
  <c r="H3" i="29"/>
  <c r="G3" i="29"/>
  <c r="F3" i="29"/>
  <c r="E3" i="29"/>
  <c r="D3" i="29"/>
  <c r="C3" i="29"/>
  <c r="B3" i="29"/>
  <c r="B1" i="29"/>
  <c r="B13" i="28"/>
  <c r="H11" i="28"/>
  <c r="G11" i="28"/>
  <c r="E11" i="28"/>
  <c r="D11" i="28"/>
  <c r="C11" i="28"/>
  <c r="B11" i="28"/>
  <c r="H9" i="28"/>
  <c r="G9" i="28"/>
  <c r="F9" i="28"/>
  <c r="C9" i="28"/>
  <c r="B9" i="28"/>
  <c r="H7" i="28"/>
  <c r="G7" i="28"/>
  <c r="F7" i="28"/>
  <c r="E7" i="28"/>
  <c r="D7" i="28"/>
  <c r="C7" i="28"/>
  <c r="B7" i="28"/>
  <c r="H5" i="28"/>
  <c r="G5" i="28"/>
  <c r="F5" i="28"/>
  <c r="E5" i="28"/>
  <c r="D5" i="28"/>
  <c r="B5" i="28"/>
  <c r="H3" i="28"/>
  <c r="G3" i="28"/>
  <c r="F3" i="28"/>
  <c r="E3" i="28"/>
  <c r="D3" i="28"/>
  <c r="C3" i="28"/>
  <c r="B3" i="28"/>
  <c r="C13" i="26"/>
  <c r="B13" i="26"/>
  <c r="H11" i="26"/>
  <c r="B11" i="26"/>
  <c r="B9" i="26"/>
  <c r="B7" i="26"/>
  <c r="B5" i="26"/>
  <c r="H3" i="26"/>
  <c r="G3" i="26"/>
  <c r="F3" i="26"/>
  <c r="E3" i="26"/>
  <c r="D3" i="26"/>
  <c r="C3" i="26"/>
  <c r="B3" i="26"/>
  <c r="B1" i="26"/>
  <c r="B13" i="25"/>
  <c r="H11" i="25"/>
  <c r="F11" i="25"/>
  <c r="E11" i="25"/>
  <c r="C11" i="25"/>
  <c r="B11" i="25"/>
  <c r="H9" i="25"/>
  <c r="G9" i="25"/>
  <c r="D9" i="25"/>
  <c r="C9" i="25"/>
  <c r="B9" i="25"/>
  <c r="H7" i="25"/>
  <c r="E7" i="25"/>
  <c r="D7" i="25"/>
  <c r="B7" i="25"/>
  <c r="H5" i="25"/>
  <c r="G5" i="25"/>
  <c r="E5" i="25"/>
  <c r="D5" i="25"/>
  <c r="C5" i="25"/>
  <c r="B5" i="25"/>
  <c r="H3" i="25"/>
  <c r="G3" i="25"/>
  <c r="F3" i="25"/>
  <c r="E3" i="25"/>
  <c r="D3" i="25"/>
  <c r="C3" i="25"/>
  <c r="B3" i="25"/>
  <c r="B1" i="25"/>
  <c r="C13" i="24"/>
  <c r="B13" i="24"/>
  <c r="H11" i="24"/>
  <c r="G11" i="24"/>
  <c r="F11" i="24"/>
  <c r="D11" i="24"/>
  <c r="C11" i="24"/>
  <c r="B11" i="24"/>
  <c r="H9" i="24"/>
  <c r="F9" i="24"/>
  <c r="E9" i="24"/>
  <c r="C9" i="24"/>
  <c r="B9" i="24"/>
  <c r="H7" i="24"/>
  <c r="G7" i="24"/>
  <c r="F7" i="24"/>
  <c r="E7" i="24"/>
  <c r="D7" i="24"/>
  <c r="C7" i="24"/>
  <c r="B7" i="24"/>
  <c r="H5" i="24"/>
  <c r="G5" i="24"/>
  <c r="F5" i="24"/>
  <c r="E5" i="24"/>
  <c r="D5" i="24"/>
  <c r="C5" i="24"/>
  <c r="B5" i="24"/>
  <c r="H3" i="24"/>
  <c r="G3" i="24"/>
  <c r="F3" i="24"/>
  <c r="E3" i="24"/>
  <c r="D3" i="24"/>
  <c r="C3" i="24"/>
  <c r="B3" i="24"/>
  <c r="B1" i="24"/>
  <c r="B13" i="22"/>
  <c r="H11" i="22"/>
  <c r="G11" i="22"/>
  <c r="F11" i="22"/>
  <c r="E11" i="22"/>
  <c r="D11" i="22"/>
  <c r="C11" i="22"/>
  <c r="B11" i="22"/>
  <c r="H9" i="22"/>
  <c r="F9" i="22"/>
  <c r="E9" i="22"/>
  <c r="D9" i="22"/>
  <c r="C9" i="22"/>
  <c r="B9" i="22"/>
  <c r="H7" i="22"/>
  <c r="G7" i="22"/>
  <c r="F7" i="22"/>
  <c r="E7" i="22"/>
  <c r="D7" i="22"/>
  <c r="C7" i="22"/>
  <c r="B7" i="22"/>
  <c r="H5" i="22"/>
  <c r="G5" i="22"/>
  <c r="F5" i="22"/>
  <c r="E5" i="22"/>
  <c r="D5" i="22"/>
  <c r="C5" i="22"/>
  <c r="B5" i="22"/>
  <c r="H3" i="22"/>
  <c r="G3" i="22"/>
  <c r="F3" i="22"/>
  <c r="E3" i="22"/>
  <c r="D3" i="22"/>
  <c r="C3" i="22"/>
  <c r="B3" i="22"/>
  <c r="B1" i="22"/>
  <c r="H11" i="19"/>
  <c r="G11" i="19"/>
  <c r="F11" i="19"/>
  <c r="E11" i="19"/>
  <c r="D11" i="19"/>
  <c r="C11" i="19"/>
  <c r="B11" i="19"/>
  <c r="H9" i="19"/>
  <c r="G9" i="19"/>
  <c r="F9" i="19"/>
  <c r="E9" i="19"/>
  <c r="D9" i="19"/>
  <c r="C9" i="19"/>
  <c r="H7" i="19"/>
  <c r="G7" i="19"/>
  <c r="F7" i="19"/>
  <c r="E7" i="19"/>
  <c r="C7" i="19"/>
  <c r="B7" i="19"/>
  <c r="H5" i="19"/>
  <c r="G5" i="19"/>
  <c r="F5" i="19"/>
  <c r="E5" i="19"/>
  <c r="D5" i="19"/>
  <c r="C5" i="19"/>
  <c r="B5" i="19"/>
  <c r="H3" i="19"/>
  <c r="G3" i="19"/>
  <c r="F3" i="19"/>
  <c r="E3" i="19"/>
  <c r="D3" i="19"/>
  <c r="C3" i="19"/>
  <c r="B3" i="19"/>
  <c r="C13" i="20"/>
  <c r="B13" i="20"/>
  <c r="H11" i="20"/>
  <c r="G11" i="20"/>
  <c r="F11" i="20"/>
  <c r="E11" i="20"/>
  <c r="D11" i="20"/>
  <c r="C11" i="20"/>
  <c r="B11" i="20"/>
  <c r="H9" i="20"/>
  <c r="G9" i="20"/>
  <c r="F9" i="20"/>
  <c r="E9" i="20"/>
  <c r="D9" i="20"/>
  <c r="B9" i="20"/>
  <c r="H7" i="20"/>
  <c r="G7" i="20"/>
  <c r="F7" i="20"/>
  <c r="E7" i="20"/>
  <c r="D7" i="20"/>
  <c r="B7" i="20"/>
  <c r="H5" i="20"/>
  <c r="G5" i="20"/>
  <c r="F5" i="20"/>
  <c r="E5" i="20"/>
  <c r="B5" i="20"/>
  <c r="H3" i="20"/>
  <c r="G3" i="20"/>
  <c r="F3" i="20"/>
  <c r="E3" i="20"/>
  <c r="D3" i="20"/>
  <c r="C3" i="20"/>
  <c r="B3" i="20"/>
  <c r="B1" i="20"/>
  <c r="B1" i="19"/>
  <c r="C13" i="14"/>
  <c r="B13" i="14"/>
  <c r="H11" i="14"/>
  <c r="G11" i="14"/>
  <c r="F11" i="14"/>
  <c r="E11" i="14"/>
  <c r="D11" i="14"/>
  <c r="C11" i="14"/>
  <c r="B11" i="14"/>
  <c r="H9" i="14"/>
  <c r="G9" i="14"/>
  <c r="F9" i="14"/>
  <c r="E9" i="14"/>
  <c r="D9" i="14"/>
  <c r="B9" i="14"/>
  <c r="C9" i="14"/>
  <c r="B3" i="14"/>
  <c r="D3" i="14"/>
  <c r="C3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  </author>
  </authors>
  <commentList>
    <comment ref="F2" authorId="0" shapeId="0" xr:uid="{00000000-0006-0000-0C00-000001000000}">
      <text>
        <r>
          <rPr>
            <b/>
            <sz val="9"/>
            <color indexed="81"/>
            <rFont val="Geneva"/>
          </rPr>
          <t>This list populates the options that appear in the pop-up list for the year on the January sheet. To add additional years, begin typing in the cell directly beneath the last existing entry and the list will automatically expand.</t>
        </r>
      </text>
    </comment>
  </commentList>
</comments>
</file>

<file path=xl/sharedStrings.xml><?xml version="1.0" encoding="utf-8"?>
<sst xmlns="http://schemas.openxmlformats.org/spreadsheetml/2006/main" count="346" uniqueCount="262">
  <si>
    <t>Sunday</t>
  </si>
  <si>
    <t>Monday</t>
  </si>
  <si>
    <t>Tuesday</t>
  </si>
  <si>
    <t>Wednesday</t>
  </si>
  <si>
    <t>Thursday</t>
  </si>
  <si>
    <t>Friday</t>
  </si>
  <si>
    <t>Saturday</t>
  </si>
  <si>
    <t>Year</t>
  </si>
  <si>
    <t>Notes:</t>
  </si>
  <si>
    <t>Notes</t>
  </si>
  <si>
    <t>Select
Year:</t>
  </si>
  <si>
    <r>
      <t xml:space="preserve">190988 - M4 - RENTAS - VD
</t>
    </r>
    <r>
      <rPr>
        <sz val="10"/>
        <color rgb="FF0070C0"/>
        <rFont val="Century Gothic"/>
        <family val="2"/>
        <scheme val="minor"/>
      </rPr>
      <t xml:space="preserve">191074 - R - Frutiger
</t>
    </r>
    <r>
      <rPr>
        <sz val="10"/>
        <color rgb="FF7030A0"/>
        <rFont val="Century Gothic"/>
        <family val="2"/>
        <scheme val="minor"/>
      </rPr>
      <t>495 - F - Riedo</t>
    </r>
  </si>
  <si>
    <r>
      <t xml:space="preserve">200003 - L - Equipements Pro - FR
</t>
    </r>
    <r>
      <rPr>
        <sz val="10"/>
        <color rgb="FF0070C0"/>
        <rFont val="Century Gothic"/>
        <family val="2"/>
        <scheme val="minor"/>
      </rPr>
      <t>200005 - R - Perrin - GE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200006 - R - WL Bau - SG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theme="1"/>
        <rFont val="Century Gothic"/>
        <family val="2"/>
        <scheme val="minor"/>
      </rPr>
      <t>Décheterie</t>
    </r>
  </si>
  <si>
    <r>
      <t xml:space="preserve">200002 - M2 - ALHO - BE
</t>
    </r>
    <r>
      <rPr>
        <sz val="10"/>
        <color rgb="FF0070C0"/>
        <rFont val="Century Gothic"/>
        <family val="2"/>
        <scheme val="minor"/>
      </rPr>
      <t>200018 - R - Ramadani - NE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</si>
  <si>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200001 - M2 - Küng - VD
191065 - M1 - Marti - VD?
</t>
    </r>
    <r>
      <rPr>
        <sz val="10"/>
        <color rgb="FF0070C0"/>
        <rFont val="Century Gothic"/>
        <family val="2"/>
        <scheme val="minor"/>
      </rPr>
      <t xml:space="preserve">200011 - R - Loxam
</t>
    </r>
    <r>
      <rPr>
        <sz val="10"/>
        <color rgb="FFFF0000"/>
        <rFont val="Century Gothic"/>
        <family val="2"/>
        <scheme val="minor"/>
      </rPr>
      <t xml:space="preserve">200019 - M2 - Küng - VD
</t>
    </r>
    <r>
      <rPr>
        <sz val="10"/>
        <color theme="1"/>
        <rFont val="Century Gothic"/>
        <family val="2"/>
        <scheme val="minor"/>
      </rPr>
      <t>Démenagement bureau</t>
    </r>
  </si>
  <si>
    <r>
      <t xml:space="preserve">497 - Ferra récup. - M2 - mobilier Vaumarcus
</t>
    </r>
    <r>
      <rPr>
        <sz val="10"/>
        <color rgb="FF0070C0"/>
        <rFont val="Century Gothic"/>
        <family val="2"/>
        <scheme val="minor"/>
      </rPr>
      <t>200013 - R - Loxam - FR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theme="8" tint="-0.249977111117893"/>
        <rFont val="Century Gothic"/>
        <family val="2"/>
        <scheme val="minor"/>
      </rPr>
      <t>200010 - S - Steiner - ZH</t>
    </r>
  </si>
  <si>
    <r>
      <t xml:space="preserve">FT 487 - M2 - Cameca - VD
191034/200024 - M1 - Caracas - VD
191000 - M1 - AC Immune - VD
</t>
    </r>
    <r>
      <rPr>
        <sz val="10"/>
        <color rgb="FF0070C0"/>
        <rFont val="Century Gothic"/>
        <family val="2"/>
        <scheme val="minor"/>
      </rPr>
      <t>200025 - R - Avesco Rent - FR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FT 502 - R - ALHO - BE
</t>
    </r>
    <r>
      <rPr>
        <sz val="10"/>
        <color rgb="FF00B050"/>
        <rFont val="Century Gothic"/>
        <family val="2"/>
        <scheme val="minor"/>
      </rPr>
      <t>200029 - L - Dieci Pizza - VD
200031 - L - PSS Santé - VD</t>
    </r>
  </si>
  <si>
    <r>
      <rPr>
        <sz val="10"/>
        <color rgb="FFFF0000"/>
        <rFont val="Century Gothic"/>
        <family val="2"/>
        <scheme val="minor"/>
      </rPr>
      <t>191002 - M2- Losinger Marazzi - VD</t>
    </r>
    <r>
      <rPr>
        <sz val="10"/>
        <color rgb="FF7030A0"/>
        <rFont val="Century Gothic"/>
        <family val="2"/>
        <scheme val="minor"/>
      </rPr>
      <t xml:space="preserve">
200015 - F - AV Digital
</t>
    </r>
    <r>
      <rPr>
        <sz val="10"/>
        <color rgb="FF0070C0"/>
        <rFont val="Century Gothic"/>
        <family val="2"/>
        <scheme val="minor"/>
      </rPr>
      <t xml:space="preserve">200023 - R - Electromécanique - FR
200026 - R - Anliker - LU
200027 - R - EMS Château des Novalles - VD
200034 - R - Orllati
</t>
    </r>
    <r>
      <rPr>
        <sz val="10"/>
        <color rgb="FFFF0000"/>
        <rFont val="Century Gothic"/>
        <family val="2"/>
        <scheme val="minor"/>
      </rPr>
      <t>FT 487 -M2 - Cameca - VD</t>
    </r>
    <r>
      <rPr>
        <sz val="10"/>
        <color rgb="FF7030A0"/>
        <rFont val="Century Gothic"/>
        <family val="2"/>
        <scheme val="minor"/>
      </rPr>
      <t xml:space="preserve">
</t>
    </r>
  </si>
  <si>
    <r>
      <t xml:space="preserve">200008 - M2 - Complex Bau - GE
</t>
    </r>
    <r>
      <rPr>
        <sz val="10"/>
        <color rgb="FF00B050"/>
        <rFont val="Century Gothic"/>
        <family val="2"/>
        <scheme val="minor"/>
      </rPr>
      <t xml:space="preserve">200022 - L - Loxam - GE
200033 - L - Loxam - GE
</t>
    </r>
    <r>
      <rPr>
        <sz val="10"/>
        <color rgb="FFFF0000"/>
        <rFont val="Century Gothic"/>
        <family val="2"/>
        <scheme val="minor"/>
      </rPr>
      <t xml:space="preserve">FT 491 - Colas - GE
</t>
    </r>
    <r>
      <rPr>
        <sz val="10"/>
        <color rgb="FF0070C0"/>
        <rFont val="Century Gothic"/>
        <family val="2"/>
        <scheme val="minor"/>
      </rPr>
      <t>200032 - R - Frutiger - LU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200016 - R - Riedo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200036 - Orllati - VD</t>
    </r>
  </si>
  <si>
    <t>200037 - R - Birchmeier</t>
  </si>
  <si>
    <r>
      <rPr>
        <sz val="10"/>
        <color rgb="FFFF0000"/>
        <rFont val="Century Gothic"/>
        <family val="2"/>
        <scheme val="minor"/>
      </rPr>
      <t xml:space="preserve">200040 - M1 - Losinger - GE
</t>
    </r>
    <r>
      <rPr>
        <sz val="10"/>
        <color rgb="FF00B050"/>
        <rFont val="Century Gothic"/>
        <family val="2"/>
        <scheme val="minor"/>
      </rPr>
      <t>200043 - L - Perret - GE</t>
    </r>
    <r>
      <rPr>
        <sz val="10"/>
        <color rgb="FF0070C0"/>
        <rFont val="Century Gothic"/>
        <family val="2"/>
        <scheme val="minor"/>
      </rPr>
      <t xml:space="preserve">
200016 - R - Riedo - BE
200039 - R - Equipement Pro</t>
    </r>
  </si>
  <si>
    <r>
      <t xml:space="preserve">
</t>
    </r>
    <r>
      <rPr>
        <sz val="10"/>
        <color rgb="FF7030A0"/>
        <rFont val="Century Gothic"/>
        <family val="2"/>
        <scheme val="minor"/>
      </rPr>
      <t>200045 - F - Martin - VD
200046 - F - Anliker - LU</t>
    </r>
    <r>
      <rPr>
        <sz val="10"/>
        <color rgb="FFFFC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200044 - R - Riedo - LU
200053 - R - Sieber
200056 - R - MGC</t>
    </r>
    <r>
      <rPr>
        <sz val="10"/>
        <color rgb="FFFFC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200021 - L - Riedo - FR</t>
    </r>
    <r>
      <rPr>
        <sz val="10"/>
        <color rgb="FFFFC00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FT504 - M1 - Ramadani -NE
FT505 - M1 - Loxam - FR
FT506 - M1 - Electromécanique - FR
</t>
    </r>
    <r>
      <rPr>
        <sz val="10"/>
        <color rgb="FF00B050"/>
        <rFont val="Century Gothic"/>
        <family val="2"/>
        <scheme val="minor"/>
      </rPr>
      <t>200049 - L - Laurent Membrez - VD</t>
    </r>
  </si>
  <si>
    <t>nt</t>
  </si>
  <si>
    <r>
      <t xml:space="preserve">200030 - S - Steiner - ZH
</t>
    </r>
    <r>
      <rPr>
        <sz val="10"/>
        <color rgb="FFFF0000"/>
        <rFont val="Century Gothic"/>
        <family val="2"/>
        <scheme val="minor"/>
      </rPr>
      <t>191057 - M1 - Mino - VD</t>
    </r>
  </si>
  <si>
    <r>
      <t xml:space="preserve">200058 - R - Equipements Pro - VD
</t>
    </r>
    <r>
      <rPr>
        <sz val="10"/>
        <color theme="1"/>
        <rFont val="Century Gothic"/>
        <family val="2"/>
        <scheme val="minor"/>
      </rPr>
      <t>Arrivage Narbutas</t>
    </r>
  </si>
  <si>
    <r>
      <t xml:space="preserve">191022 - M2 - Projet CO - VD
</t>
    </r>
    <r>
      <rPr>
        <sz val="10"/>
        <color theme="1"/>
        <rFont val="Century Gothic"/>
        <family val="2"/>
        <scheme val="minor"/>
      </rPr>
      <t xml:space="preserve">Arrivage Betriebseinrichtung
</t>
    </r>
    <r>
      <rPr>
        <sz val="10"/>
        <color rgb="FF0070C0"/>
        <rFont val="Century Gothic"/>
        <family val="2"/>
        <scheme val="minor"/>
      </rPr>
      <t>200067 - R - Implenia - VD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</si>
  <si>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sz val="10"/>
        <color rgb="FFFF0000"/>
        <rFont val="Century Gothic"/>
        <family val="2"/>
        <scheme val="minor"/>
      </rPr>
      <t>190988 - M2 - RENTAS - VD</t>
    </r>
    <r>
      <rPr>
        <sz val="10"/>
        <color rgb="FFFFC000"/>
        <rFont val="Century Gothic"/>
        <family val="2"/>
        <scheme val="minor"/>
      </rPr>
      <t xml:space="preserve">
</t>
    </r>
    <r>
      <rPr>
        <sz val="10"/>
        <color theme="8" tint="-0.249977111117893"/>
        <rFont val="Century Gothic"/>
        <family val="2"/>
        <scheme val="minor"/>
      </rPr>
      <t>190907 - S - WL BAU</t>
    </r>
    <r>
      <rPr>
        <sz val="10"/>
        <color rgb="FFFFC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200007 - R - Banos</t>
    </r>
    <r>
      <rPr>
        <sz val="10"/>
        <color rgb="FFFFC000"/>
        <rFont val="Century Gothic"/>
        <family val="2"/>
        <scheme val="minor"/>
      </rPr>
      <t xml:space="preserve">
</t>
    </r>
    <r>
      <rPr>
        <sz val="10"/>
        <color theme="8" tint="-0.249977111117893"/>
        <rFont val="Century Gothic"/>
        <family val="2"/>
        <scheme val="minor"/>
      </rPr>
      <t>191063 - S - ARGE KiKri - BE</t>
    </r>
  </si>
  <si>
    <r>
      <t xml:space="preserve">200061 - M2 - Avesco Rent - VD
</t>
    </r>
    <r>
      <rPr>
        <sz val="10"/>
        <color rgb="FF0070C0"/>
        <rFont val="Century Gothic"/>
        <family val="2"/>
        <scheme val="minor"/>
      </rPr>
      <t>200066 - R - Riedo - FR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200068 - R - Perret - GE
200069 - R - Frutiger - BE
200076 - R - Orllati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theme="1"/>
        <rFont val="Century Gothic"/>
        <family val="2"/>
        <scheme val="minor"/>
      </rPr>
      <t>FT 512 - Déménagement des dernièrs meubles RENTAS</t>
    </r>
  </si>
  <si>
    <r>
      <rPr>
        <sz val="10"/>
        <color rgb="FF0070C0"/>
        <rFont val="Century Gothic"/>
        <family val="2"/>
        <scheme val="minor"/>
      </rPr>
      <t>200074 - R - Stand de Tir Malleray</t>
    </r>
    <r>
      <rPr>
        <sz val="10"/>
        <color rgb="FFFF0000"/>
        <rFont val="Century Gothic"/>
        <family val="2"/>
        <scheme val="minor"/>
      </rPr>
      <t xml:space="preserve">
200050 - M1- Losinger - GE
</t>
    </r>
    <r>
      <rPr>
        <sz val="10"/>
        <color rgb="FF00B050"/>
        <rFont val="Century Gothic"/>
        <family val="2"/>
        <scheme val="minor"/>
      </rPr>
      <t>200075 - L - Maulini - GE</t>
    </r>
  </si>
  <si>
    <r>
      <t xml:space="preserve">200065 - L - Müller - VD
</t>
    </r>
    <r>
      <rPr>
        <sz val="10"/>
        <color rgb="FFFF0000"/>
        <rFont val="Century Gothic"/>
        <family val="2"/>
        <scheme val="minor"/>
      </rPr>
      <t xml:space="preserve">200041 - M2 - Orllati - VD
</t>
    </r>
    <r>
      <rPr>
        <sz val="10"/>
        <color rgb="FF0070C0"/>
        <rFont val="Century Gothic"/>
        <family val="2"/>
        <scheme val="minor"/>
      </rPr>
      <t>200042 - R - Fagsi - LU
200080 - R - Marti - NE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theme="1"/>
        <rFont val="Century Gothic"/>
        <family val="2"/>
        <scheme val="minor"/>
      </rPr>
      <t>Déchéterie</t>
    </r>
  </si>
  <si>
    <r>
      <t xml:space="preserve">SAV513 - S - Steiner - ZH
</t>
    </r>
    <r>
      <rPr>
        <sz val="10"/>
        <rFont val="Century Gothic"/>
        <family val="2"/>
        <scheme val="minor"/>
      </rPr>
      <t xml:space="preserve">2274 - Cafe Pappy John
</t>
    </r>
    <r>
      <rPr>
        <sz val="10"/>
        <color rgb="FF00B050"/>
        <rFont val="Century Gothic"/>
        <family val="2"/>
        <scheme val="minor"/>
      </rPr>
      <t>200082 - L - La Chocolatière - VD</t>
    </r>
    <r>
      <rPr>
        <sz val="10"/>
        <color theme="8" tint="-0.249977111117893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200088 - M1 - Dénériaz - VD</t>
    </r>
    <r>
      <rPr>
        <sz val="10"/>
        <color theme="8" tint="-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200093 - R - Orllati</t>
    </r>
  </si>
  <si>
    <t xml:space="preserve">200103 - R - Implenia
200094 - R - Orllati 
200104 - R - Orllati </t>
  </si>
  <si>
    <t>200102 - R - HRS Real Estate - JU
200107 - R - Anliker - LU</t>
  </si>
  <si>
    <r>
      <t xml:space="preserve">200089 - F - Boerio
</t>
    </r>
    <r>
      <rPr>
        <sz val="10"/>
        <color rgb="FF0070C0"/>
        <rFont val="Century Gothic"/>
        <family val="2"/>
        <scheme val="minor"/>
      </rPr>
      <t>200098 - R - Camendona - VD</t>
    </r>
    <r>
      <rPr>
        <sz val="10"/>
        <color rgb="FF7030A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191061- R - Riedo - AG</t>
    </r>
    <r>
      <rPr>
        <sz val="10"/>
        <color rgb="FF7030A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200100 - R - Equipements Pro - BL</t>
    </r>
    <r>
      <rPr>
        <sz val="10"/>
        <color rgb="FF7030A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200099 - R - Equipements Pro - VD</t>
    </r>
    <r>
      <rPr>
        <sz val="10"/>
        <color rgb="FF7030A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200095 - R - Rentas
200096 - R - Grisoni Zaugg - FR
200108 - R - Laurent Membrez</t>
    </r>
  </si>
  <si>
    <r>
      <t xml:space="preserve">200102 - R - Camandona - VD?
</t>
    </r>
    <r>
      <rPr>
        <sz val="10"/>
        <color rgb="FFFF0000"/>
        <rFont val="Century Gothic"/>
        <family val="2"/>
        <scheme val="minor"/>
      </rPr>
      <t>200116 - M2 - AVESCO - GE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200118 - L - Piasio - GE</t>
    </r>
    <r>
      <rPr>
        <sz val="10"/>
        <color rgb="FF0070C0"/>
        <rFont val="Century Gothic"/>
        <family val="2"/>
        <scheme val="minor"/>
      </rPr>
      <t xml:space="preserve">
200127 - R - Orllati</t>
    </r>
  </si>
  <si>
    <r>
      <t xml:space="preserve">191070 - M2 - Ferra - VD? En attente fauteuils ANTARES
200125 - M1 - Marti - VD
</t>
    </r>
    <r>
      <rPr>
        <sz val="10"/>
        <color rgb="FF7030A0"/>
        <rFont val="Century Gothic"/>
        <family val="2"/>
        <scheme val="minor"/>
      </rPr>
      <t>200115 - F - ARGE KiKri - BE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190703 - F - Laurent Membrez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200120 - R - Equipements Pro - FR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200130 - R - AVESCO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200122 - R - Ferroflex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200133 - R - Muller</t>
    </r>
  </si>
  <si>
    <r>
      <t xml:space="preserve">191072 - M3 - Interbohr - ZH
</t>
    </r>
    <r>
      <rPr>
        <sz val="10"/>
        <color rgb="FF0070C0"/>
        <rFont val="Century Gothic"/>
        <family val="2"/>
        <scheme val="minor"/>
      </rPr>
      <t>200142 - R - Marti Travaux - NE</t>
    </r>
  </si>
  <si>
    <r>
      <t xml:space="preserve">200131 - F - AVESCO
</t>
    </r>
    <r>
      <rPr>
        <sz val="10"/>
        <color rgb="FF0070C0"/>
        <rFont val="Century Gothic"/>
        <family val="2"/>
        <scheme val="minor"/>
      </rPr>
      <t>200135 - R - Marti Construction
200136 - R - Marti Construction</t>
    </r>
    <r>
      <rPr>
        <sz val="10"/>
        <color rgb="FF7030A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200134 - R - Riedo - FR</t>
    </r>
    <r>
      <rPr>
        <sz val="10"/>
        <color rgb="FF7030A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200128 - R - Frutiger - BE</t>
    </r>
    <r>
      <rPr>
        <sz val="10"/>
        <color rgb="FF7030A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200141 - L - Orllati - VD
</t>
    </r>
    <r>
      <rPr>
        <sz val="10"/>
        <color rgb="FF0070C0"/>
        <rFont val="Century Gothic"/>
        <family val="2"/>
        <scheme val="minor"/>
      </rPr>
      <t>FT 516  - Sky Wings - BE</t>
    </r>
  </si>
  <si>
    <r>
      <t xml:space="preserve">191072 - M3 - Interbohr - ZH
</t>
    </r>
    <r>
      <rPr>
        <sz val="10"/>
        <color theme="8" tint="-0.249977111117893"/>
        <rFont val="Century Gothic"/>
        <family val="2"/>
        <scheme val="minor"/>
      </rPr>
      <t>200114 - S - Frutiger - BE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FT - 527 - Sky Wings - BE
FT - 528 - Kästlibau - BE</t>
    </r>
  </si>
  <si>
    <r>
      <t xml:space="preserve">200132 - L - M.Gulsen Ali - VD
530 - L - Rentas - VD 
</t>
    </r>
    <r>
      <rPr>
        <sz val="10"/>
        <color rgb="FFFF0000"/>
        <rFont val="Century Gothic"/>
        <family val="2"/>
        <scheme val="minor"/>
      </rPr>
      <t>529 - 200153 - M2 - AC Immune - VD</t>
    </r>
  </si>
  <si>
    <r>
      <rPr>
        <sz val="10"/>
        <color rgb="FF0070C0"/>
        <rFont val="Century Gothic"/>
        <family val="2"/>
        <scheme val="minor"/>
      </rPr>
      <t>200144 - R - Implenia - FR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200143 - R - Implenia - VS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200137 - R - Riedo - FR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200149 - R - Perrin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200148 - R - EMS Château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200146 - R - COLAS - GE
200121 - R - Frutiger AG - BE
</t>
    </r>
    <r>
      <rPr>
        <sz val="10"/>
        <color rgb="FF00B050"/>
        <rFont val="Century Gothic"/>
        <family val="2"/>
        <scheme val="minor"/>
      </rPr>
      <t>Retripa - VD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</si>
  <si>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sz val="10"/>
        <color rgb="FF7030A0"/>
        <rFont val="Century Gothic"/>
        <family val="2"/>
        <scheme val="minor"/>
      </rPr>
      <t>200138 - F - Riedo - FR</t>
    </r>
    <r>
      <rPr>
        <sz val="10"/>
        <color rgb="FFFF0000"/>
        <rFont val="Century Gothic"/>
        <family val="2"/>
        <scheme val="minor"/>
      </rPr>
      <t xml:space="preserve">
191070 - M2 - Ferra - VD
</t>
    </r>
    <r>
      <rPr>
        <sz val="10"/>
        <color rgb="FF00B050"/>
        <rFont val="Century Gothic"/>
        <family val="2"/>
        <scheme val="minor"/>
      </rPr>
      <t>FT 526 - La Chocolatière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200151 - R - Müller - VD</t>
    </r>
  </si>
  <si>
    <r>
      <t xml:space="preserve">Tri de l'arrivage Narbutas
</t>
    </r>
    <r>
      <rPr>
        <sz val="10"/>
        <color rgb="FFFF0000"/>
        <rFont val="Century Gothic"/>
        <family val="2"/>
        <scheme val="minor"/>
      </rPr>
      <t>200062 - M1 - General Media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200059 - R - Equipement Pro - FR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200158 - R - Perrin - GE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200161 - R - Riedo - FR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200162 - R - Implenia 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</si>
  <si>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t xml:space="preserve">
</t>
  </si>
  <si>
    <r>
      <t xml:space="preserve">200009 - M2 - Adobes - VD
200051 - M2 - Laurent Mombrez - VD
500 - M2 - Losinger Marazzi - VD
529 - M2 - AC Immune - VD
200000 - M2 - USB Fac - VD dès 14h00
517 - M2 - Project co - VD
</t>
    </r>
    <r>
      <rPr>
        <sz val="10"/>
        <color rgb="FF0070C0"/>
        <rFont val="Century Gothic"/>
        <family val="2"/>
        <scheme val="minor"/>
      </rPr>
      <t>200145 - R - Cuénod - VS
200171 - R - Orllati Log. - VD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</si>
  <si>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Preparation Halter 190969 - 200038
</t>
    </r>
    <r>
      <rPr>
        <sz val="10"/>
        <color rgb="FF00B050"/>
        <rFont val="Century Gothic"/>
        <family val="2"/>
        <scheme val="minor"/>
      </rPr>
      <t>200169 - 200173 - L - Grisoni - FR</t>
    </r>
  </si>
  <si>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200170 - R - Aromwave - VD
200172 - R - Equipement Pro - VD
200175 - R Equipement Pro -VD</t>
    </r>
    <r>
      <rPr>
        <sz val="10"/>
        <color rgb="FFFF0000"/>
        <rFont val="Century Gothic"/>
        <family val="2"/>
        <scheme val="minor"/>
      </rPr>
      <t xml:space="preserve">
190969/200038 - M2 - Halter - FR</t>
    </r>
  </si>
  <si>
    <r>
      <rPr>
        <sz val="10"/>
        <rFont val="Century Gothic"/>
        <family val="2"/>
        <scheme val="minor"/>
      </rPr>
      <t>Arrivage Betriebseinrichtung?</t>
    </r>
    <r>
      <rPr>
        <sz val="10"/>
        <color rgb="FFFF0000"/>
        <rFont val="Century Gothic"/>
        <family val="2"/>
        <scheme val="minor"/>
      </rPr>
      <t xml:space="preserve">
190969/200038 - M2 - Halter - FR
</t>
    </r>
    <r>
      <rPr>
        <sz val="10"/>
        <color rgb="FF0070C0"/>
        <rFont val="Century Gothic"/>
        <family val="2"/>
        <scheme val="minor"/>
      </rPr>
      <t>200177 - R - Ombrella -VD ?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200183 - R - Implenia - VD</t>
    </r>
  </si>
  <si>
    <r>
      <t xml:space="preserve">
</t>
    </r>
    <r>
      <rPr>
        <sz val="10"/>
        <rFont val="Century Gothic"/>
        <family val="2"/>
        <scheme val="minor"/>
      </rPr>
      <t>Arrivage Narbutas ~10h00</t>
    </r>
    <r>
      <rPr>
        <sz val="10"/>
        <color theme="8" tint="-0.249977111117893"/>
        <rFont val="Century Gothic"/>
        <family val="2"/>
        <scheme val="minor"/>
      </rPr>
      <t xml:space="preserve">
200156 - S - Halter SA - GE
</t>
    </r>
    <r>
      <rPr>
        <sz val="10"/>
        <color rgb="FF00B050"/>
        <rFont val="Century Gothic"/>
        <family val="2"/>
        <scheme val="minor"/>
      </rPr>
      <t>200184 - L - EMS Château Novalles - VD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</si>
  <si>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191044 - 200193 - M3 - CDI - FR
</t>
    </r>
    <r>
      <rPr>
        <sz val="10"/>
        <color rgb="FF0070C0"/>
        <rFont val="Century Gothic"/>
        <family val="2"/>
        <scheme val="minor"/>
      </rPr>
      <t>200195 - R - Laurent Membrez - VD</t>
    </r>
  </si>
  <si>
    <r>
      <t xml:space="preserve">191044 - M3 - CDI - FR
</t>
    </r>
    <r>
      <rPr>
        <sz val="10"/>
        <rFont val="Century Gothic"/>
        <family val="2"/>
        <scheme val="minor"/>
      </rPr>
      <t>Rangement matériel CDI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200179 - R - Dupraz - VD
200105 - R - Stirnimann - GR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200191 - R - Orllati - VD</t>
    </r>
  </si>
  <si>
    <t xml:space="preserve">191069-191059-200201 - M3 - AC Immune - VD
</t>
  </si>
  <si>
    <r>
      <rPr>
        <sz val="10"/>
        <color theme="1"/>
        <rFont val="Century Gothic"/>
        <family val="2"/>
        <scheme val="minor"/>
      </rPr>
      <t>Arrivage MADES 7.00</t>
    </r>
    <r>
      <rPr>
        <sz val="10"/>
        <color rgb="FFFF0000"/>
        <rFont val="Century Gothic"/>
        <family val="2"/>
        <scheme val="minor"/>
      </rPr>
      <t xml:space="preserve">
200012 - M3 - RIEDO - FR
</t>
    </r>
    <r>
      <rPr>
        <sz val="10"/>
        <color rgb="FF0070C0"/>
        <rFont val="Century Gothic"/>
        <family val="2"/>
        <scheme val="minor"/>
      </rPr>
      <t>200174 - R - Riedo - SO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200205 - L - Perrin Frères - VD
200197 - L - Perrin Frères - VD
200070 - L - Müller Technique - VD
200176 - Camandona - VD
</t>
    </r>
    <r>
      <rPr>
        <sz val="10"/>
        <color rgb="FF0070C0"/>
        <rFont val="Century Gothic"/>
        <family val="2"/>
        <scheme val="minor"/>
      </rPr>
      <t>200190 - R - Losinger - GE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FT 536 - R - Losinger GE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</si>
  <si>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>Arrivage Narbutas - 200092 Interbohr</t>
    </r>
    <r>
      <rPr>
        <sz val="10"/>
        <color rgb="FFFF0000"/>
        <rFont val="Century Gothic"/>
        <family val="2"/>
        <scheme val="minor"/>
      </rPr>
      <t xml:space="preserve">
200160 - M2 - Steiner - BL 
</t>
    </r>
  </si>
  <si>
    <r>
      <t xml:space="preserve">Arrivage Narbutas - 200092 Interbohr
</t>
    </r>
    <r>
      <rPr>
        <sz val="10"/>
        <color rgb="FFFF0000"/>
        <rFont val="Century Gothic"/>
        <family val="2"/>
        <scheme val="minor"/>
      </rPr>
      <t xml:space="preserve">200012 - M3 - RIEDO - FR
FT531 - Implenia - FR 
</t>
    </r>
    <r>
      <rPr>
        <sz val="10"/>
        <color rgb="FF0070C0"/>
        <rFont val="Century Gothic"/>
        <family val="2"/>
        <scheme val="minor"/>
      </rPr>
      <t xml:space="preserve">200203 - R - Jacobs - BE
200071 - R - Frutiger - BE
</t>
    </r>
    <r>
      <rPr>
        <sz val="10"/>
        <color rgb="FF00B050"/>
        <rFont val="Century Gothic"/>
        <family val="2"/>
        <scheme val="minor"/>
      </rPr>
      <t>200191 - L - Orlatti - VD</t>
    </r>
    <r>
      <rPr>
        <sz val="10"/>
        <color rgb="FFFF0000"/>
        <rFont val="Century Gothic"/>
        <family val="2"/>
        <scheme val="minor"/>
      </rPr>
      <t xml:space="preserve">
</t>
    </r>
  </si>
  <si>
    <t>200092/FT533 - M3 - Interbohr - LU</t>
  </si>
  <si>
    <r>
      <t xml:space="preserve">200012 - M3 - RIEDO - FR
</t>
    </r>
    <r>
      <rPr>
        <sz val="10"/>
        <color rgb="FF0070C0"/>
        <rFont val="Century Gothic"/>
        <family val="2"/>
        <scheme val="minor"/>
      </rPr>
      <t>200218 - R - Laurent Membrez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200220 - R - Rentas - VD</t>
    </r>
  </si>
  <si>
    <r>
      <t xml:space="preserve">
200129 - R - Frutiger - BE!
200213 - R - Frutiger - BL
200215 - R - Marti - SG
</t>
    </r>
    <r>
      <rPr>
        <sz val="10"/>
        <color rgb="FFFF0000"/>
        <rFont val="Century Gothic"/>
        <family val="2"/>
        <scheme val="minor"/>
      </rPr>
      <t xml:space="preserve">191064 - M2 - Transvoirie - GE Matin
</t>
    </r>
    <r>
      <rPr>
        <sz val="10"/>
        <color rgb="FF00B050"/>
        <rFont val="Century Gothic"/>
        <family val="2"/>
        <scheme val="minor"/>
      </rPr>
      <t>200224 - L - Marti - GE</t>
    </r>
    <r>
      <rPr>
        <sz val="10"/>
        <color rgb="FF0070C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</si>
  <si>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>Déchetterie</t>
    </r>
    <r>
      <rPr>
        <sz val="10"/>
        <color rgb="FFFF0000"/>
        <rFont val="Century Gothic"/>
        <family val="2"/>
        <scheme val="minor"/>
      </rPr>
      <t xml:space="preserve">
FT538 - Fun Body - VD
200028 - M1 - Erne - VD
</t>
    </r>
    <r>
      <rPr>
        <sz val="10"/>
        <color rgb="FF00B050"/>
        <rFont val="Century Gothic"/>
        <family val="2"/>
        <scheme val="minor"/>
      </rPr>
      <t>200072 - L - Bertholet et Mathis - VD
200231 - L - Steiner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200226 - R - Implenia - VS
200154 - R - CBRE GWS/Biogen - SO</t>
    </r>
    <r>
      <rPr>
        <sz val="10"/>
        <color rgb="FFFF0000"/>
        <rFont val="Century Gothic"/>
        <family val="2"/>
        <scheme val="minor"/>
      </rPr>
      <t xml:space="preserve">
</t>
    </r>
  </si>
  <si>
    <t>200225 - R - White Tiger - VD</t>
  </si>
  <si>
    <r>
      <t xml:space="preserve">200232 - L - Equipement Pro - VD
200222 - L - Camandona - VD
</t>
    </r>
    <r>
      <rPr>
        <sz val="10"/>
        <color rgb="FF0070C0"/>
        <rFont val="Century Gothic"/>
        <family val="2"/>
        <scheme val="minor"/>
      </rPr>
      <t>200236 - R - Camandona - VD</t>
    </r>
    <r>
      <rPr>
        <sz val="10"/>
        <color rgb="FF00B050"/>
        <rFont val="Century Gothic"/>
        <family val="2"/>
        <scheme val="minor"/>
      </rPr>
      <t xml:space="preserve">
200229 - L - Belloni - GE</t>
    </r>
  </si>
  <si>
    <t>Arrivage Narbutas 23.-25.03</t>
  </si>
  <si>
    <r>
      <t xml:space="preserve">200035- Halter Préparation
</t>
    </r>
    <r>
      <rPr>
        <sz val="10"/>
        <color rgb="FF0070C0"/>
        <rFont val="Century Gothic"/>
        <family val="2"/>
        <scheme val="minor"/>
      </rPr>
      <t>200245 - R - Implenia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200230/200241 - R - Riedo/ISS Facilitiy - BE!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200239 - L - Martin - VD</t>
    </r>
  </si>
  <si>
    <r>
      <t xml:space="preserve">200035 - M3 - Halter - FR!
200243 - M3 - Halter - FR
</t>
    </r>
    <r>
      <rPr>
        <sz val="10"/>
        <color rgb="FF0070C0"/>
        <rFont val="Century Gothic"/>
        <family val="2"/>
        <scheme val="minor"/>
      </rPr>
      <t>200247 - R - Orllati - VD</t>
    </r>
  </si>
  <si>
    <r>
      <rPr>
        <sz val="10"/>
        <color theme="8" tint="-0.249977111117893"/>
        <rFont val="Century Gothic"/>
        <family val="2"/>
        <scheme val="minor"/>
      </rPr>
      <t>200198 - S - ALHO - BE?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theme="8" tint="-0.249977111117893"/>
        <rFont val="Century Gothic"/>
        <family val="2"/>
        <scheme val="minor"/>
      </rPr>
      <t>FT542 - Riedo/FC Bassersdorf?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200246 - F - Camandona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200248 - R - Imbovi</t>
    </r>
  </si>
  <si>
    <t>200126 - L - Riedo - FR
200250 - L - Widmer - SO
200249 - L - Riedo - LU
200252 - 200251 - Frutiger - BE</t>
  </si>
  <si>
    <t>200256 - M2 - Steiner - BS</t>
  </si>
  <si>
    <t>200035 - M3 - Halter - FR</t>
  </si>
  <si>
    <r>
      <t xml:space="preserve">200259 - R - Baltensperger - ZH
200254 - R - Menoud - FR
200257 - R - Frutiger - BE
</t>
    </r>
    <r>
      <rPr>
        <sz val="10"/>
        <color rgb="FF00B050"/>
        <rFont val="Century Gothic"/>
        <family val="2"/>
        <scheme val="minor"/>
      </rPr>
      <t xml:space="preserve">200150 - L - EMS - VD
</t>
    </r>
    <r>
      <rPr>
        <sz val="10"/>
        <color rgb="FFFF0000"/>
        <rFont val="Century Gothic"/>
        <family val="2"/>
        <scheme val="minor"/>
      </rPr>
      <t>200188 - M1 - RENTAS - VD</t>
    </r>
  </si>
  <si>
    <r>
      <t xml:space="preserve">200084 - M3 - CDI - FR
</t>
    </r>
    <r>
      <rPr>
        <sz val="10"/>
        <color rgb="FF0070C0"/>
        <rFont val="Century Gothic"/>
        <family val="2"/>
        <scheme val="minor"/>
      </rPr>
      <t>200265 - R - Equipement Pro</t>
    </r>
  </si>
  <si>
    <r>
      <t xml:space="preserve">200084 - M4 - CDI - FR
</t>
    </r>
    <r>
      <rPr>
        <sz val="10"/>
        <color rgb="FF0070C0"/>
        <rFont val="Century Gothic"/>
        <family val="2"/>
        <scheme val="minor"/>
      </rPr>
      <t>200268 - R - Anliker</t>
    </r>
  </si>
  <si>
    <r>
      <rPr>
        <sz val="10"/>
        <rFont val="Century Gothic"/>
        <family val="2"/>
        <scheme val="minor"/>
      </rPr>
      <t>MADES ARRIVAGE 2250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539 - M1 - Riedo - FR
</t>
    </r>
    <r>
      <rPr>
        <sz val="10"/>
        <color rgb="FF00B050"/>
        <rFont val="Century Gothic"/>
        <family val="2"/>
        <scheme val="minor"/>
      </rPr>
      <t>200086 - 200263 - L - Riedo - FR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200271 - 200273 - R - Bertholet Mathys</t>
    </r>
  </si>
  <si>
    <r>
      <t xml:space="preserve">200267 - L - Losinger - GE
</t>
    </r>
    <r>
      <rPr>
        <sz val="10"/>
        <color rgb="FFFF0000"/>
        <rFont val="Century Gothic"/>
        <family val="2"/>
        <scheme val="minor"/>
      </rPr>
      <t>200117 - 200054 - M1 - Losinger - GE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200262 - R - Frutiger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200196 - R - Laurent Membrez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200274 - R - Bertholet Mathys</t>
    </r>
  </si>
  <si>
    <t>Férié</t>
  </si>
  <si>
    <r>
      <t xml:space="preserve">200139 - 200119 - M3 - Interbohr - ZH
</t>
    </r>
    <r>
      <rPr>
        <sz val="10"/>
        <color rgb="FF00B050"/>
        <rFont val="Century Gothic"/>
        <family val="2"/>
        <scheme val="minor"/>
      </rPr>
      <t>200276 - L - Anliker - ZH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200278 - R - Frutiger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200275 - R - Ropraz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200269 - R - BECAM</t>
    </r>
  </si>
  <si>
    <r>
      <t xml:space="preserve">200139 - 200119 - M3 - Interbohr - ZH
</t>
    </r>
    <r>
      <rPr>
        <sz val="10"/>
        <color rgb="FF0070C0"/>
        <rFont val="Century Gothic"/>
        <family val="2"/>
        <scheme val="minor"/>
      </rPr>
      <t xml:space="preserve">200284 - R - Grisoni - FR
200266 R - Avesco - FR
</t>
    </r>
    <r>
      <rPr>
        <sz val="10"/>
        <color rgb="FFFF0000"/>
        <rFont val="Century Gothic"/>
        <family val="2"/>
        <scheme val="minor"/>
      </rPr>
      <t>200227 - M3 - Frutiger - VD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200240 - L - Frutiger - VD</t>
    </r>
    <r>
      <rPr>
        <sz val="10"/>
        <color rgb="FF0070C0"/>
        <rFont val="Century Gothic"/>
        <family val="2"/>
        <scheme val="minor"/>
      </rPr>
      <t xml:space="preserve">
</t>
    </r>
  </si>
  <si>
    <r>
      <rPr>
        <sz val="10"/>
        <color rgb="FF7030A0"/>
        <rFont val="Century Gothic"/>
        <family val="2"/>
        <scheme val="minor"/>
      </rPr>
      <t xml:space="preserve">200290 - F - Perrin - VD
</t>
    </r>
    <r>
      <rPr>
        <sz val="10"/>
        <color rgb="FF0070C0"/>
        <rFont val="Century Gothic"/>
        <family val="2"/>
        <scheme val="minor"/>
      </rPr>
      <t xml:space="preserve">200289 - R - Perrin - VD
200291 - R - Frutiger - BS
200292 - R - EMS Château Nov.
</t>
    </r>
    <r>
      <rPr>
        <sz val="10"/>
        <color rgb="FF00B050"/>
        <rFont val="Century Gothic"/>
        <family val="2"/>
        <scheme val="minor"/>
      </rPr>
      <t xml:space="preserve">200238 - L - Bertholet - VD
</t>
    </r>
    <r>
      <rPr>
        <sz val="10"/>
        <color rgb="FF0070C0"/>
        <rFont val="Century Gothic"/>
        <family val="2"/>
        <scheme val="minor"/>
      </rPr>
      <t>200281 - R - Induni - GE
200294 - R - Beauverd</t>
    </r>
  </si>
  <si>
    <t>200285 - M2 - Interbohr - ZH</t>
  </si>
  <si>
    <t>FT</t>
  </si>
  <si>
    <r>
      <t xml:space="preserve">200286 - S - Arge Kästli Bau - BE
</t>
    </r>
    <r>
      <rPr>
        <sz val="10"/>
        <color rgb="FF0070C0"/>
        <rFont val="Century Gothic"/>
        <family val="2"/>
        <scheme val="minor"/>
      </rPr>
      <t>200285 - R - Interbohr - ZH</t>
    </r>
    <r>
      <rPr>
        <sz val="10"/>
        <color theme="8" tint="-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200302 - R - Orllati</t>
    </r>
  </si>
  <si>
    <t>200305 - R - Implenia 
200307 - R - Laurent Membrez
200196 - R - Laurent Membrez</t>
  </si>
  <si>
    <r>
      <rPr>
        <sz val="10"/>
        <color theme="1"/>
        <rFont val="Century Gothic"/>
        <family val="2"/>
        <scheme val="minor"/>
      </rPr>
      <t xml:space="preserve">
Dépannage Mercedes
</t>
    </r>
    <r>
      <rPr>
        <sz val="10"/>
        <color rgb="FF0070C0"/>
        <rFont val="Century Gothic"/>
        <family val="2"/>
        <scheme val="minor"/>
      </rPr>
      <t xml:space="preserve">200303 - R - A. Widmer - ZH
200304 - R - A. Widmer - ZH
200308 - R - Knecht - BE
</t>
    </r>
    <r>
      <rPr>
        <sz val="10"/>
        <color rgb="FF00B050"/>
        <rFont val="Century Gothic"/>
        <family val="2"/>
        <scheme val="minor"/>
      </rPr>
      <t xml:space="preserve">200296 - L - Maulini - GE
200295 - L - Perret - GE
200306 - L -Cons. RADOGZ - GE
</t>
    </r>
    <r>
      <rPr>
        <sz val="10"/>
        <color rgb="FFFF0000"/>
        <rFont val="Century Gothic"/>
        <family val="2"/>
        <scheme val="minor"/>
      </rPr>
      <t>200301 - M1 - Steiner - GE</t>
    </r>
    <r>
      <rPr>
        <sz val="10"/>
        <color rgb="FF00B050"/>
        <rFont val="Century Gothic"/>
        <family val="2"/>
        <scheme val="minor"/>
      </rPr>
      <t xml:space="preserve">
200300 - L - Induni - GE</t>
    </r>
    <r>
      <rPr>
        <sz val="10"/>
        <color rgb="FF0070C0"/>
        <rFont val="Century Gothic"/>
        <family val="2"/>
        <scheme val="minor"/>
      </rPr>
      <t xml:space="preserve">
</t>
    </r>
  </si>
  <si>
    <t>200309 - R - Orllati
Ranger et nettoyer les dépôts en vue de l'arrivage des 3 Containers</t>
  </si>
  <si>
    <r>
      <t xml:space="preserve">200139 - 200119 - M3 - Interbohr - ZH
</t>
    </r>
    <r>
      <rPr>
        <sz val="10"/>
        <color theme="8" tint="-0.249977111117893"/>
        <rFont val="Century Gothic"/>
        <family val="2"/>
        <scheme val="minor"/>
      </rPr>
      <t xml:space="preserve">200270 - S - Dénériaz
200272 - S - Dénériaz
</t>
    </r>
    <r>
      <rPr>
        <sz val="10"/>
        <color rgb="FF0070C0"/>
        <rFont val="Century Gothic"/>
        <family val="2"/>
        <scheme val="minor"/>
      </rPr>
      <t>200280 - R - Marti - GE
200253 - R - Frutiger - BE</t>
    </r>
  </si>
  <si>
    <r>
      <t xml:space="preserve">13.00 Arrivage MADES 2275
</t>
    </r>
    <r>
      <rPr>
        <sz val="10"/>
        <color theme="8" tint="-0.249977111117893"/>
        <rFont val="Century Gothic"/>
        <family val="2"/>
        <scheme val="minor"/>
      </rPr>
      <t xml:space="preserve">200260 - S - Steiner </t>
    </r>
    <r>
      <rPr>
        <sz val="10"/>
        <rFont val="Century Gothic"/>
        <family val="2"/>
        <scheme val="minor"/>
      </rPr>
      <t xml:space="preserve">
</t>
    </r>
    <r>
      <rPr>
        <sz val="10"/>
        <color theme="1"/>
        <rFont val="Century Gothic"/>
        <family val="2"/>
        <scheme val="minor"/>
      </rPr>
      <t xml:space="preserve">Prodega 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200316 - L - Maulini - GE
200298 - L - Maulini - GE
200314 - L - Perret - GE
200297 - L - Perret - GE
200315 - L - Belloni - GE
</t>
    </r>
    <r>
      <rPr>
        <sz val="10"/>
        <color rgb="FF0070C0"/>
        <rFont val="Century Gothic"/>
        <family val="2"/>
        <scheme val="minor"/>
      </rPr>
      <t>200312 - R - Implenia</t>
    </r>
    <r>
      <rPr>
        <sz val="10"/>
        <rFont val="Century Gothic"/>
        <family val="2"/>
        <scheme val="minor"/>
      </rPr>
      <t xml:space="preserve">
</t>
    </r>
  </si>
  <si>
    <r>
      <t xml:space="preserve">
</t>
    </r>
    <r>
      <rPr>
        <sz val="10"/>
        <rFont val="Century Gothic"/>
        <family val="2"/>
        <scheme val="minor"/>
      </rPr>
      <t>Arrivage Narbutas
Arrivage Nowystil?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200310 - L - Orllati Logistique 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200320 - L - Marti - GE</t>
    </r>
    <r>
      <rPr>
        <sz val="10"/>
        <color rgb="FF0070C0"/>
        <rFont val="Century Gothic"/>
        <family val="2"/>
        <scheme val="minor"/>
      </rPr>
      <t xml:space="preserve">
200331 - R - Laurent Membrez</t>
    </r>
  </si>
  <si>
    <r>
      <rPr>
        <sz val="10"/>
        <color rgb="FF00B050"/>
        <rFont val="Century Gothic"/>
        <family val="2"/>
        <scheme val="minor"/>
      </rPr>
      <t>FT549 - Frutiger - VD</t>
    </r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200318 - R - Ropraz - FR</t>
    </r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200317 - R - Losinger - GE
200321 - R - Losinger - GE</t>
    </r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200288 - R - Losinger Marazzi - GE</t>
    </r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200337/200315 - R - Belloni GE</t>
    </r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200335/200343 - R - Gabella - VD</t>
    </r>
  </si>
  <si>
    <r>
      <rPr>
        <sz val="10"/>
        <color rgb="FF00B050"/>
        <rFont val="Century Gothic"/>
        <family val="2"/>
        <scheme val="minor"/>
      </rPr>
      <t>200320 - L - Marti - GE?
200322 - L - Marti - GE?</t>
    </r>
    <r>
      <rPr>
        <sz val="10"/>
        <color rgb="FF0070C0"/>
        <rFont val="Century Gothic"/>
        <family val="2"/>
        <scheme val="minor"/>
      </rPr>
      <t xml:space="preserve">
200332 - R - Soreval - GE
200345 - R - Maulini - GE
200347 - R - Losinger - GE
</t>
    </r>
    <r>
      <rPr>
        <sz val="10"/>
        <color rgb="FF00B050"/>
        <rFont val="Century Gothic"/>
        <family val="2"/>
        <scheme val="minor"/>
      </rPr>
      <t>200339 - L - Losinger Marazzi - GE?</t>
    </r>
  </si>
  <si>
    <r>
      <rPr>
        <sz val="10"/>
        <color rgb="FF0070C0"/>
        <rFont val="Arial"/>
        <family val="2"/>
      </rPr>
      <t xml:space="preserve">200323 - R - Riedo - FR
200355 - R - Marti Construction
200185 - R - Trait pour trait - VD
</t>
    </r>
    <r>
      <rPr>
        <sz val="10"/>
        <color theme="8" tint="-0.249977111117893"/>
        <rFont val="Arial"/>
        <family val="2"/>
      </rPr>
      <t xml:space="preserve">200348 - S - Dénériaz - VD
</t>
    </r>
    <r>
      <rPr>
        <sz val="10"/>
        <color rgb="FF7030A0"/>
        <rFont val="Arial"/>
        <family val="2"/>
      </rPr>
      <t xml:space="preserve">200344 - F - Perret - GE
</t>
    </r>
    <r>
      <rPr>
        <sz val="10"/>
        <color rgb="FFFF0000"/>
        <rFont val="Arial"/>
        <family val="2"/>
      </rPr>
      <t>200199 - M3 - AC Immune - VD</t>
    </r>
    <r>
      <rPr>
        <sz val="10"/>
        <color rgb="FF00B050"/>
        <rFont val="Arial"/>
        <family val="2"/>
      </rPr>
      <t xml:space="preserve">
</t>
    </r>
    <r>
      <rPr>
        <sz val="10"/>
        <color rgb="FFFF0000"/>
        <rFont val="Arial"/>
        <family val="2"/>
      </rPr>
      <t xml:space="preserve">
</t>
    </r>
  </si>
  <si>
    <r>
      <rPr>
        <sz val="10"/>
        <color theme="1"/>
        <rFont val="Century Gothic"/>
        <family val="2"/>
        <scheme val="minor"/>
      </rPr>
      <t>Arrivage MOBIKA</t>
    </r>
    <r>
      <rPr>
        <sz val="10"/>
        <color rgb="FFFF0000"/>
        <rFont val="Century Gothic"/>
        <family val="2"/>
        <scheme val="minor"/>
      </rPr>
      <t xml:space="preserve">
200200 - M2 - Rentas/AC Immune 
200237/200159 - M2 - AC Immune 
200214 -M1 - AC Immune 
FT 537 - AC Immune 
</t>
    </r>
    <r>
      <rPr>
        <sz val="10"/>
        <color rgb="FF0070C0"/>
        <rFont val="Century Gothic"/>
        <family val="2"/>
        <scheme val="minor"/>
      </rPr>
      <t>200166 - R - CMLO 
200357 - R - Laurent Membrez
200358 - R - Anliker - LU
200202 - R - CSEM SA -NE
200360 - R - A. Widmer - BE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200362 - R - Orllati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200340 - R - Riedo - FR</t>
    </r>
  </si>
  <si>
    <r>
      <rPr>
        <sz val="10"/>
        <color rgb="FF00B050"/>
        <rFont val="Century Gothic"/>
        <family val="2"/>
        <scheme val="minor"/>
      </rPr>
      <t xml:space="preserve">200319 - L - Losinger - GE - B 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200329 - L - Implenia - VD -B
200350 - L - Marti - GE - B 
200293 - L - Induni - GE - V 
200371 - L - Piasio - GE - B
</t>
    </r>
    <r>
      <rPr>
        <sz val="10"/>
        <color rgb="FF0070C0"/>
        <rFont val="Century Gothic"/>
        <family val="2"/>
        <scheme val="minor"/>
      </rPr>
      <t xml:space="preserve">
</t>
    </r>
  </si>
  <si>
    <t>Matin - Finir AC Immune
200235 - M1 - L'éveil de soi - VD ok!</t>
  </si>
  <si>
    <r>
      <rPr>
        <sz val="10"/>
        <color rgb="FF00B050"/>
        <rFont val="Century Gothic"/>
        <family val="2"/>
        <scheme val="minor"/>
      </rPr>
      <t>200402 - L - Induni - GE</t>
    </r>
    <r>
      <rPr>
        <sz val="10"/>
        <color rgb="FF0070C0"/>
        <rFont val="Century Gothic"/>
        <family val="2"/>
        <scheme val="minor"/>
      </rPr>
      <t xml:space="preserve">
200389 - R - Perrin - GE</t>
    </r>
    <r>
      <rPr>
        <sz val="10"/>
        <color rgb="FFFF0000"/>
        <rFont val="Century Gothic"/>
        <family val="2"/>
        <scheme val="minor"/>
      </rPr>
      <t xml:space="preserve">
FT</t>
    </r>
    <r>
      <rPr>
        <sz val="10"/>
        <color rgb="FF0070C0"/>
        <rFont val="Century Gothic"/>
        <family val="2"/>
        <scheme val="minor"/>
      </rPr>
      <t xml:space="preserve"> </t>
    </r>
    <r>
      <rPr>
        <sz val="10"/>
        <color rgb="FFFF0000"/>
        <rFont val="Century Gothic"/>
        <family val="2"/>
        <scheme val="minor"/>
      </rPr>
      <t>552 - M1 - Frutiger - VD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200359 - M1 - Steiner - GE
</t>
    </r>
    <r>
      <rPr>
        <sz val="10"/>
        <color theme="8" tint="-0.249977111117893"/>
        <rFont val="Century Gothic"/>
        <family val="2"/>
        <scheme val="minor"/>
      </rPr>
      <t>200401 - S - Garat - NE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200369 - L - Implenia - GE
200384 - L - Marti - GE
200400 - L - Orllati - VD Victor
200395 - L - Implenia - VD Victor
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theme="1"/>
        <rFont val="Century Gothic"/>
        <family val="2"/>
        <scheme val="minor"/>
      </rPr>
      <t xml:space="preserve">Décharge </t>
    </r>
  </si>
  <si>
    <r>
      <t xml:space="preserve">FT - 553 - Implenia - VD
FT 540/550 - M2 - Interbohr - ZH
</t>
    </r>
    <r>
      <rPr>
        <sz val="10"/>
        <color rgb="FF0070C0"/>
        <rFont val="Century Gothic"/>
        <family val="2"/>
        <scheme val="minor"/>
      </rPr>
      <t>200386 - R - Mino - VD</t>
    </r>
  </si>
  <si>
    <r>
      <t xml:space="preserve">
</t>
    </r>
    <r>
      <rPr>
        <sz val="10"/>
        <color rgb="FFFF0000"/>
        <rFont val="Century Gothic"/>
        <family val="2"/>
        <scheme val="minor"/>
      </rPr>
      <t xml:space="preserve">
200366 - M2 - Avesco Rent - BE! 
</t>
    </r>
    <r>
      <rPr>
        <sz val="10"/>
        <color rgb="FF0070C0"/>
        <rFont val="Century Gothic"/>
        <family val="2"/>
        <scheme val="minor"/>
      </rPr>
      <t>200211 - R - EDIFEA - GE!
200405 - R - JPF - FR
200388 - R - Perrin - VD
200409 - R - Grisoni - FR</t>
    </r>
    <r>
      <rPr>
        <sz val="10"/>
        <rFont val="Century Gothic"/>
        <family val="2"/>
        <scheme val="minor"/>
      </rPr>
      <t xml:space="preserve">
</t>
    </r>
  </si>
  <si>
    <r>
      <rPr>
        <sz val="10"/>
        <color rgb="FF0070C0"/>
        <rFont val="Century Gothic"/>
        <family val="2"/>
        <scheme val="minor"/>
      </rPr>
      <t>200374/200375 - R - Frutiger - BE</t>
    </r>
    <r>
      <rPr>
        <sz val="10"/>
        <color rgb="FFFF0000"/>
        <rFont val="Century Gothic"/>
        <family val="2"/>
        <scheme val="minor"/>
      </rPr>
      <t xml:space="preserve">
200047 - M2 - Pella - VD
FT 547 - Bilel seul - CDI - FR 
</t>
    </r>
  </si>
  <si>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200412 - R - Maulini - GE
200417 - R - Frutiger - BE
200414/200415 - R - Marti Constr.
200419 - R - Marti - GE
200418 - R - Marti - VD
</t>
    </r>
    <r>
      <rPr>
        <sz val="10"/>
        <color theme="1"/>
        <rFont val="Century Gothic"/>
        <family val="2"/>
        <scheme val="minor"/>
      </rPr>
      <t>Apporter pneus 4x4 Garage Renens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theme="1"/>
        <rFont val="Century Gothic"/>
        <family val="2"/>
        <scheme val="minor"/>
      </rPr>
      <t xml:space="preserve">MADES Arrivage 13.30
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</si>
  <si>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
</t>
    </r>
    <r>
      <rPr>
        <sz val="10"/>
        <color rgb="FFFF0000"/>
        <rFont val="Century Gothic"/>
        <family val="2"/>
        <scheme val="minor"/>
      </rPr>
      <t xml:space="preserve">200504 - 557 - M1 - RENTAS - VD
200186 - M1 - Erne - VD - dès 13h00
</t>
    </r>
    <r>
      <rPr>
        <sz val="10"/>
        <color rgb="FF00B050"/>
        <rFont val="Century Gothic"/>
        <family val="2"/>
        <scheme val="minor"/>
      </rPr>
      <t xml:space="preserve">200416 - L - Implenia - VD à 8h30
</t>
    </r>
    <r>
      <rPr>
        <sz val="10"/>
        <color rgb="FFFF0000"/>
        <rFont val="Century Gothic"/>
        <family val="2"/>
        <scheme val="minor"/>
      </rPr>
      <t xml:space="preserve">FT556 - M1 - Frutiger - VD
200413 - M2 - Edifea - GE
</t>
    </r>
    <r>
      <rPr>
        <sz val="10"/>
        <color rgb="FF00B050"/>
        <rFont val="Century Gothic"/>
        <family val="2"/>
        <scheme val="minor"/>
      </rPr>
      <t xml:space="preserve">200363 - L - Maulini - GE
</t>
    </r>
    <r>
      <rPr>
        <sz val="10"/>
        <color rgb="FF0070C0"/>
        <rFont val="Century Gothic"/>
        <family val="2"/>
        <scheme val="minor"/>
      </rPr>
      <t>200376 - R - Riedo - FR
200411 - R - Riedo - FR
200336 - R - Maulini - GE</t>
    </r>
    <r>
      <rPr>
        <sz val="10"/>
        <color theme="1"/>
        <rFont val="Century Gothic"/>
        <family val="2"/>
        <scheme val="minor"/>
      </rPr>
      <t xml:space="preserve">
</t>
    </r>
  </si>
  <si>
    <r>
      <t xml:space="preserve">200373 - L - CTM 4J for JAG - GE?
200387 -  L - Orllati - VD
</t>
    </r>
    <r>
      <rPr>
        <sz val="10"/>
        <color rgb="FF0070C0"/>
        <rFont val="Century Gothic"/>
        <family val="2"/>
        <scheme val="minor"/>
      </rPr>
      <t xml:space="preserve">200428 - R - Avesco Rent 
200429 - R - Implenia 
</t>
    </r>
    <r>
      <rPr>
        <sz val="10"/>
        <color rgb="FF00B050"/>
        <rFont val="Century Gothic"/>
        <family val="2"/>
        <scheme val="minor"/>
      </rPr>
      <t xml:space="preserve">FT 560 - L - Implenia - VD
</t>
    </r>
  </si>
  <si>
    <t>Bilel congé
FERIE PONT ASCENSCION</t>
  </si>
  <si>
    <r>
      <t xml:space="preserve">1er camion Arrivage Mobika
</t>
    </r>
    <r>
      <rPr>
        <sz val="10"/>
        <color rgb="FF7030A0"/>
        <rFont val="Century Gothic"/>
        <family val="2"/>
        <scheme val="minor"/>
      </rPr>
      <t>200430 - F - Marti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FT 561 - Ferra - VD</t>
    </r>
    <r>
      <rPr>
        <sz val="10"/>
        <color theme="1"/>
        <rFont val="Century Gothic"/>
        <family val="2"/>
        <scheme val="minor"/>
      </rPr>
      <t xml:space="preserve"> - </t>
    </r>
    <r>
      <rPr>
        <sz val="10"/>
        <color rgb="FFFF0000"/>
        <rFont val="Century Gothic"/>
        <family val="2"/>
        <scheme val="minor"/>
      </rPr>
      <t>8h30!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200422 - R - ZED - NE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200421 - R - Halter - GE
200420/200427 - R - Perret - GE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200349 - R -  Marti GE 
200437 - R - Implenia 
</t>
    </r>
    <r>
      <rPr>
        <sz val="10"/>
        <color rgb="FF00B050"/>
        <rFont val="Century Gothic"/>
        <family val="2"/>
        <scheme val="minor"/>
      </rPr>
      <t>200438 - L - Steiner - VD</t>
    </r>
  </si>
  <si>
    <r>
      <t xml:space="preserve">2ème camion Arrivage Mobika
</t>
    </r>
    <r>
      <rPr>
        <sz val="10"/>
        <color rgb="FF00B050"/>
        <rFont val="Century Gothic"/>
        <family val="2"/>
        <scheme val="minor"/>
      </rPr>
      <t>200378 - L - Gétaz Mi. - VD 20xBilel
200407 - L - Rampini - GE 26x Bilel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200282 - R - Facchinetti - NE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200444 - L - HRS Real Estate - VD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200380 - L - Gare Cully - VD 10xBilel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200382 - L - Bertholet - VD</t>
    </r>
  </si>
  <si>
    <r>
      <t xml:space="preserve">
200426 - L - Orllati - VD 35xBilel
200398 - L - Marti - GE 30xBilel
</t>
    </r>
    <r>
      <rPr>
        <sz val="10"/>
        <color rgb="FF0070C0"/>
        <rFont val="Century Gothic"/>
        <family val="2"/>
        <scheme val="minor"/>
      </rPr>
      <t xml:space="preserve">200441 - R - HRS Real Estate - VD
</t>
    </r>
    <r>
      <rPr>
        <sz val="10"/>
        <color rgb="FF7030A0"/>
        <rFont val="Century Gothic"/>
        <family val="2"/>
        <scheme val="minor"/>
      </rPr>
      <t xml:space="preserve">200442 - F - Perret
</t>
    </r>
    <r>
      <rPr>
        <sz val="10"/>
        <color rgb="FF0070C0"/>
        <rFont val="Century Gothic"/>
        <family val="2"/>
        <scheme val="minor"/>
      </rPr>
      <t xml:space="preserve">200433 - R - JPF Constr. 
</t>
    </r>
    <r>
      <rPr>
        <sz val="10"/>
        <color rgb="FFFF0000"/>
        <rFont val="Century Gothic"/>
        <family val="2"/>
        <scheme val="minor"/>
      </rPr>
      <t>200452 - M1 - HRS Real Estate - VD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
</t>
    </r>
  </si>
  <si>
    <t>ASCENSCION</t>
  </si>
  <si>
    <r>
      <t xml:space="preserve">
</t>
    </r>
    <r>
      <rPr>
        <sz val="10"/>
        <color rgb="FFFF0000"/>
        <rFont val="Century Gothic"/>
        <family val="2"/>
        <scheme val="minor"/>
      </rPr>
      <t>200381 - M2 - Spaeth - VD!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200432/FT559 - M1 - Garat - NE
</t>
    </r>
    <r>
      <rPr>
        <sz val="10"/>
        <color rgb="FF00B050"/>
        <rFont val="Century Gothic"/>
        <family val="2"/>
        <scheme val="minor"/>
      </rPr>
      <t xml:space="preserve">200431 - L - Bernasconi - NE
200404 - L - Frelechoux - VD </t>
    </r>
    <r>
      <rPr>
        <sz val="10"/>
        <color theme="1"/>
        <rFont val="Century Gothic"/>
        <family val="2"/>
        <scheme val="minor"/>
      </rPr>
      <t>pas là</t>
    </r>
    <r>
      <rPr>
        <sz val="10"/>
        <color rgb="FF00B050"/>
        <rFont val="Century Gothic"/>
        <family val="2"/>
        <scheme val="minor"/>
      </rPr>
      <t xml:space="preserve">
200396 - L - JPF Ducret - FR Victor
200423 - L - JPF Const. - FR Victor
</t>
    </r>
    <r>
      <rPr>
        <sz val="10"/>
        <color rgb="FF0070C0"/>
        <rFont val="Century Gothic"/>
        <family val="2"/>
        <scheme val="minor"/>
      </rPr>
      <t xml:space="preserve">200449 - R - Steiner - GE
</t>
    </r>
    <r>
      <rPr>
        <sz val="10"/>
        <color rgb="FF7030A0"/>
        <rFont val="Century Gothic"/>
        <family val="2"/>
        <scheme val="minor"/>
      </rPr>
      <t>200454 - F - Piasio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theme="1"/>
        <rFont val="Century Gothic"/>
        <family val="2"/>
        <scheme val="minor"/>
      </rPr>
      <t>Retour Perceuse Bossenens Equip.Pro</t>
    </r>
  </si>
  <si>
    <r>
      <rPr>
        <sz val="10"/>
        <rFont val="Century Gothic"/>
        <family val="2"/>
        <scheme val="minor"/>
      </rPr>
      <t>ARRIVAGE France BOISSONS 2392?</t>
    </r>
    <r>
      <rPr>
        <sz val="10"/>
        <color rgb="FF00B050"/>
        <rFont val="Century Gothic"/>
        <family val="2"/>
        <scheme val="minor"/>
      </rPr>
      <t xml:space="preserve">
200435/200455 - L - Implenia - GE
</t>
    </r>
    <r>
      <rPr>
        <sz val="10"/>
        <color rgb="FF0070C0"/>
        <rFont val="Century Gothic"/>
        <family val="2"/>
        <scheme val="minor"/>
      </rPr>
      <t>200443 - R - Implenia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200464 - R - Antiglio - FR
200469 - R - Anliker - LU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200370 -R - Fagsi - LU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200466 - R - Containex - LU
</t>
    </r>
  </si>
  <si>
    <r>
      <t xml:space="preserve">
200445/200447 - L - Induni - GE
200460 - L - Piasio - GE
200451 - L - Maulini - GE
</t>
    </r>
    <r>
      <rPr>
        <sz val="10"/>
        <color rgb="FF0070C0"/>
        <rFont val="Century Gothic"/>
        <family val="2"/>
        <scheme val="minor"/>
      </rPr>
      <t>200463 - R - Implenia - VD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200392 - R - Laurent Membrez - VD
</t>
    </r>
    <r>
      <rPr>
        <sz val="10"/>
        <color rgb="FF00B050"/>
        <rFont val="Century Gothic"/>
        <family val="2"/>
        <scheme val="minor"/>
      </rPr>
      <t xml:space="preserve">
</t>
    </r>
  </si>
  <si>
    <r>
      <t xml:space="preserve">
</t>
    </r>
    <r>
      <rPr>
        <sz val="10"/>
        <color rgb="FF0070C0"/>
        <rFont val="Century Gothic"/>
        <family val="2"/>
        <scheme val="minor"/>
      </rPr>
      <t>200166 - R - CMCO</t>
    </r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200474 - R - Marti Construction </t>
    </r>
  </si>
  <si>
    <r>
      <t xml:space="preserve">Arrivage MADES 2315 - 8h00
Arrivage MOBIKA 2391
</t>
    </r>
    <r>
      <rPr>
        <sz val="10"/>
        <color rgb="FF0070C0"/>
        <rFont val="Century Gothic"/>
        <family val="2"/>
        <scheme val="minor"/>
      </rPr>
      <t>200477 - R - Frutiger - BL</t>
    </r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200479 - R - JPF Constr. - VS
200472 - R - Implenia 
200439 - R - Steiner 
200383/200471 - R - Frutiger - BE
200462 - R - Braillard Fers - VD</t>
    </r>
    <r>
      <rPr>
        <sz val="1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200473 - M1 - Haller - VD</t>
    </r>
  </si>
  <si>
    <t>PENTECOTE</t>
  </si>
  <si>
    <r>
      <rPr>
        <sz val="10"/>
        <color theme="1"/>
        <rFont val="Century Gothic"/>
        <family val="2"/>
        <scheme val="minor"/>
      </rPr>
      <t>Arrivage Loctek 2298?</t>
    </r>
    <r>
      <rPr>
        <sz val="10"/>
        <color rgb="FFFF0000"/>
        <rFont val="Century Gothic"/>
        <family val="2"/>
        <scheme val="minor"/>
      </rPr>
      <t xml:space="preserve">
200168/200457 - M2 - Orllati - VD!
</t>
    </r>
    <r>
      <rPr>
        <sz val="10"/>
        <color rgb="FF0070C0"/>
        <rFont val="Century Gothic"/>
        <family val="2"/>
        <scheme val="minor"/>
      </rPr>
      <t>200454 - R - Implenia - VS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200480 - R - Marti</t>
    </r>
    <r>
      <rPr>
        <sz val="10"/>
        <color rgb="FFFF0000"/>
        <rFont val="Century Gothic"/>
        <family val="2"/>
        <scheme val="minor"/>
      </rPr>
      <t xml:space="preserve"> 
</t>
    </r>
  </si>
  <si>
    <r>
      <rPr>
        <sz val="10"/>
        <color theme="1"/>
        <rFont val="Century Gothic"/>
        <family val="2"/>
        <scheme val="minor"/>
      </rPr>
      <t xml:space="preserve">Arrivage Loctek 2298?
Arrivage Betriebseinrichtung 2397
</t>
    </r>
    <r>
      <rPr>
        <sz val="10"/>
        <color rgb="FF0070C0"/>
        <rFont val="Century Gothic"/>
        <family val="2"/>
        <scheme val="minor"/>
      </rPr>
      <t xml:space="preserve">200489 - R - Riedo - FR
</t>
    </r>
    <r>
      <rPr>
        <sz val="10"/>
        <color rgb="FF00B050"/>
        <rFont val="Century Gothic"/>
        <family val="2"/>
        <scheme val="minor"/>
      </rPr>
      <t xml:space="preserve">200490 - L - Perret - GE
</t>
    </r>
    <r>
      <rPr>
        <sz val="10"/>
        <color rgb="FF0070C0"/>
        <rFont val="Century Gothic"/>
        <family val="2"/>
        <scheme val="minor"/>
      </rPr>
      <t>200486 - R - Implenia - VS
200492 - R - Maulini - GE
200459 - R - Steiner - GE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200475 - L - Cuénod - GE</t>
    </r>
    <r>
      <rPr>
        <sz val="10"/>
        <color rgb="FFFF0000"/>
        <rFont val="Century Gothic"/>
        <family val="2"/>
        <scheme val="minor"/>
      </rPr>
      <t xml:space="preserve">
Récupération BOXPLAY - location M2 - 13.00! FT 481
</t>
    </r>
  </si>
  <si>
    <r>
      <rPr>
        <sz val="10"/>
        <color rgb="FF0070C0"/>
        <rFont val="Century Gothic"/>
        <family val="2"/>
        <scheme val="minor"/>
      </rPr>
      <t>200496/200500 - R - A. Widmer - SO
200498 - R - Camandona - VD
200484 - R - Implenia</t>
    </r>
    <r>
      <rPr>
        <sz val="10"/>
        <color rgb="FFFF0000"/>
        <rFont val="Century Gothic"/>
        <family val="2"/>
        <scheme val="minor"/>
      </rPr>
      <t xml:space="preserve">
200367 - M3 - Avesco Rent - BE!</t>
    </r>
  </si>
  <si>
    <r>
      <t xml:space="preserve">
</t>
    </r>
    <r>
      <rPr>
        <sz val="10"/>
        <color theme="1"/>
        <rFont val="Century Gothic"/>
        <family val="2"/>
        <scheme val="minor"/>
      </rPr>
      <t>Arrivage Narbutas 2 camions</t>
    </r>
    <r>
      <rPr>
        <sz val="10"/>
        <color rgb="FFFF0000"/>
        <rFont val="Century Gothic"/>
        <family val="2"/>
        <scheme val="minor"/>
      </rPr>
      <t xml:space="preserve">
200365 - M3 - Grisoni - FR
200372 - M1 - Halter - FR
</t>
    </r>
    <r>
      <rPr>
        <sz val="10"/>
        <color rgb="FF0070C0"/>
        <rFont val="Century Gothic"/>
        <family val="2"/>
        <scheme val="minor"/>
      </rPr>
      <t>200510 - R - A. Widmer - ZH</t>
    </r>
  </si>
  <si>
    <r>
      <rPr>
        <sz val="10"/>
        <color rgb="FFFF0000"/>
        <rFont val="Century Gothic"/>
        <family val="2"/>
        <scheme val="minor"/>
      </rPr>
      <t xml:space="preserve">
200482 - M2 - G. Pavillon - VD
</t>
    </r>
    <r>
      <rPr>
        <sz val="10"/>
        <color rgb="FF00B050"/>
        <rFont val="Century Gothic"/>
        <family val="2"/>
        <scheme val="minor"/>
      </rPr>
      <t>200499 - L - Riedo - SO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</si>
  <si>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t xml:space="preserve">
</t>
    </r>
    <r>
      <rPr>
        <sz val="10"/>
        <color theme="1"/>
        <rFont val="Century Gothic"/>
        <family val="2"/>
        <scheme val="minor"/>
      </rPr>
      <t xml:space="preserve">
Rangement du dépôt
</t>
    </r>
    <r>
      <rPr>
        <sz val="10"/>
        <color rgb="FF0070C0"/>
        <rFont val="Century Gothic"/>
        <family val="2"/>
        <scheme val="minor"/>
      </rPr>
      <t>200514 - R - JPF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200390 - R - Frutiger - BE? Narbutas
200478 - R - Marti 
FT 564 - Récupération Antares
</t>
    </r>
    <r>
      <rPr>
        <sz val="10"/>
        <color rgb="FFFF0000"/>
        <rFont val="Century Gothic"/>
        <family val="2"/>
        <scheme val="minor"/>
      </rPr>
      <t xml:space="preserve">FT 551 - M1 - AC Immune - VD? Narbutas
</t>
    </r>
    <r>
      <rPr>
        <sz val="10"/>
        <color rgb="FF00B050"/>
        <rFont val="Century Gothic"/>
        <family val="2"/>
        <scheme val="minor"/>
      </rPr>
      <t>200453 - L - HRS - VD?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</si>
  <si>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200361 - R - Marti
</t>
    </r>
    <r>
      <rPr>
        <sz val="10"/>
        <color rgb="FF00B050"/>
        <rFont val="Century Gothic"/>
        <family val="2"/>
        <scheme val="minor"/>
      </rPr>
      <t>200352/200346 - L - Riedo - FR</t>
    </r>
    <r>
      <rPr>
        <sz val="10"/>
        <color rgb="FF0070C0"/>
        <rFont val="Century Gothic"/>
        <family val="2"/>
        <scheme val="minor"/>
      </rPr>
      <t xml:space="preserve"> 
</t>
    </r>
    <r>
      <rPr>
        <sz val="10"/>
        <color rgb="FF7030A0"/>
        <rFont val="Century Gothic"/>
        <family val="2"/>
        <scheme val="minor"/>
      </rPr>
      <t>200513 - F - Perrin - VD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200515/200495 - L - Grisoni Z. - FR
200506 - L - Ropraz - FR
200453 - L - HRS - VD
</t>
    </r>
    <r>
      <rPr>
        <sz val="10"/>
        <color rgb="FFFF0000"/>
        <rFont val="Century Gothic"/>
        <family val="2"/>
        <scheme val="minor"/>
      </rPr>
      <t>FT 551/200410 - M2 - AC Immune - VD</t>
    </r>
    <r>
      <rPr>
        <sz val="10"/>
        <color rgb="FF00B050"/>
        <rFont val="Century Gothic"/>
        <family val="2"/>
        <scheme val="minor"/>
      </rPr>
      <t xml:space="preserve">
</t>
    </r>
  </si>
  <si>
    <r>
      <t xml:space="preserve">200434 - M2 - BmyB - GE
</t>
    </r>
    <r>
      <rPr>
        <sz val="10"/>
        <color rgb="FF0070C0"/>
        <rFont val="Century Gothic"/>
        <family val="2"/>
        <scheme val="minor"/>
      </rPr>
      <t xml:space="preserve">200521 - R - Jimen
200390 - R - Frutiger - BE
200524 - R - ADV
200527 - R - Laurent Membrez
</t>
    </r>
    <r>
      <rPr>
        <sz val="10"/>
        <color rgb="FF00B050"/>
        <rFont val="Century Gothic"/>
        <family val="2"/>
        <scheme val="minor"/>
      </rPr>
      <t>200458/200526 - L - Induni - GE</t>
    </r>
    <r>
      <rPr>
        <sz val="10"/>
        <color rgb="FFFF0000"/>
        <rFont val="Century Gothic"/>
        <family val="2"/>
        <scheme val="minor"/>
      </rPr>
      <t xml:space="preserve">
</t>
    </r>
  </si>
  <si>
    <t xml:space="preserve">
200456 - L - Implenia - GE
200508 - L - Martin &amp; Co - VD
</t>
  </si>
  <si>
    <r>
      <t xml:space="preserve">
</t>
    </r>
    <r>
      <rPr>
        <sz val="10"/>
        <color rgb="FFFF0000"/>
        <rFont val="Century Gothic"/>
        <family val="2"/>
        <scheme val="minor"/>
      </rPr>
      <t xml:space="preserve">200326/200410 - M3 - AC Immune - VD
3ème étage
</t>
    </r>
    <r>
      <rPr>
        <sz val="10"/>
        <color theme="8" tint="-0.249977111117893"/>
        <rFont val="Century Gothic"/>
        <family val="2"/>
        <scheme val="minor"/>
      </rPr>
      <t xml:space="preserve">200494 - S - Anliker - ZH à 10h00
</t>
    </r>
    <r>
      <rPr>
        <sz val="10"/>
        <color rgb="FF0070C0"/>
        <rFont val="Century Gothic"/>
        <family val="2"/>
        <scheme val="minor"/>
      </rPr>
      <t xml:space="preserve">200476 - R - Alkana </t>
    </r>
    <r>
      <rPr>
        <sz val="10"/>
        <color theme="8" tint="-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200525 - R - Losinger Marazzi - GE
200508 - R - Martin &amp; Co - VD
200534 - R - GZ Stores - VD
200529 - R - Camandona - VD</t>
    </r>
  </si>
  <si>
    <r>
      <t>200327- M3 - AC Immune - VD
4ème étage</t>
    </r>
    <r>
      <rPr>
        <sz val="10"/>
        <color theme="8" tint="-0.249977111117893"/>
        <rFont val="Century Gothic"/>
        <family val="2"/>
        <scheme val="minor"/>
      </rPr>
      <t xml:space="preserve">
200516 - S - Balcin Mustafa - FR</t>
    </r>
  </si>
  <si>
    <r>
      <rPr>
        <sz val="10"/>
        <color rgb="FF0070C0"/>
        <rFont val="Century Gothic"/>
        <family val="2"/>
        <scheme val="minor"/>
      </rPr>
      <t>200539 - R - Piasio - GE
200542 - R - Nasca - VS
200537 - R - GH SA - VD</t>
    </r>
    <r>
      <rPr>
        <sz val="1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200325/200544- M3 - AC Immune - VD
2ème étage
</t>
    </r>
  </si>
  <si>
    <r>
      <rPr>
        <sz val="10"/>
        <color rgb="FFFF0000"/>
        <rFont val="Century Gothic"/>
        <family val="2"/>
        <scheme val="minor"/>
      </rPr>
      <t>200531 - M2 - Camandona - VD</t>
    </r>
    <r>
      <rPr>
        <b/>
        <sz val="10"/>
        <color rgb="FFFF0000"/>
        <rFont val="Century Gothic"/>
        <family val="2"/>
        <scheme val="minor"/>
      </rPr>
      <t xml:space="preserve">
LE MATIN</t>
    </r>
    <r>
      <rPr>
        <sz val="10"/>
        <color rgb="FFFF0000"/>
        <rFont val="Century Gothic"/>
        <family val="2"/>
        <scheme val="minor"/>
      </rPr>
      <t xml:space="preserve"> - 200491 - M1 - Atélier
créer dans la joie - VD!
FT 551 - M3 - AC Immune - VD
FT 566 - M2 - Rentas - VD
</t>
    </r>
    <r>
      <rPr>
        <sz val="10"/>
        <color rgb="FF00B050"/>
        <rFont val="Century Gothic"/>
        <family val="2"/>
        <scheme val="minor"/>
      </rPr>
      <t>200523 - L - Losinger - GE! Victor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theme="1"/>
        <rFont val="Century Gothic"/>
        <family val="2"/>
        <scheme val="minor"/>
      </rPr>
      <t>Déchetterie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</si>
  <si>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t xml:space="preserve">191071 - M3 - Halter - GE!
200244 - M2 - Losinger - VD!
</t>
    </r>
    <r>
      <rPr>
        <sz val="10"/>
        <color rgb="FF0070C0"/>
        <rFont val="Century Gothic"/>
        <family val="2"/>
        <scheme val="minor"/>
      </rPr>
      <t>200550 - R - WL-BAU - BL
200554 - R - Maulini - GE
200551 - R - Cons. Maulinin - GE
200549 - R - EMS Château Nov.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theme="8" tint="-0.249977111117893"/>
        <rFont val="Century Gothic"/>
        <family val="2"/>
        <scheme val="minor"/>
      </rPr>
      <t>200393 - S - Riedo - BL!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>Arrivage Narbutas ?</t>
    </r>
  </si>
  <si>
    <r>
      <rPr>
        <sz val="10"/>
        <color rgb="FF0070C0"/>
        <rFont val="Century Gothic"/>
        <family val="2"/>
        <scheme val="minor"/>
      </rPr>
      <t xml:space="preserve">200571 - R - Energie
200569 - R - Perret
200567 - R - Perrin
200570 - R - Marti
</t>
    </r>
    <r>
      <rPr>
        <sz val="10"/>
        <color rgb="FFFF0000"/>
        <rFont val="Century Gothic"/>
        <family val="2"/>
        <scheme val="minor"/>
      </rPr>
      <t>191071 - 200565 - M2 - Halter - GE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FT 569 - Losinger - VD</t>
    </r>
  </si>
  <si>
    <r>
      <rPr>
        <sz val="10"/>
        <color rgb="FF0070C0"/>
        <rFont val="Century Gothic"/>
        <family val="2"/>
        <scheme val="minor"/>
      </rPr>
      <t>200564 - R - Implenia</t>
    </r>
    <r>
      <rPr>
        <sz val="10"/>
        <color rgb="FFFF0000"/>
        <rFont val="Century Gothic"/>
        <family val="2"/>
        <scheme val="minor"/>
      </rPr>
      <t xml:space="preserve">
200533 - M2 - Steiner - FR
</t>
    </r>
    <r>
      <rPr>
        <sz val="10"/>
        <color rgb="FF00B050"/>
        <rFont val="Century Gothic"/>
        <family val="2"/>
        <scheme val="minor"/>
      </rPr>
      <t>200543 - L - Orllati VD!</t>
    </r>
  </si>
  <si>
    <r>
      <rPr>
        <sz val="10"/>
        <color rgb="FF0070C0"/>
        <rFont val="Century Gothic"/>
        <family val="2"/>
        <scheme val="minor"/>
      </rPr>
      <t>200572 - R - Usine Jurats</t>
    </r>
    <r>
      <rPr>
        <sz val="10"/>
        <rFont val="Century Gothic"/>
        <family val="2"/>
        <scheme val="minor"/>
      </rPr>
      <t xml:space="preserve">
7h30 Mercedes au garage Echandens!</t>
    </r>
    <r>
      <rPr>
        <sz val="10"/>
        <color rgb="FFFF0000"/>
        <rFont val="Century Gothic"/>
        <family val="2"/>
        <scheme val="minor"/>
      </rPr>
      <t xml:space="preserve">
200180 - M2 - Projet-Co - VD! </t>
    </r>
    <r>
      <rPr>
        <sz val="10"/>
        <color theme="1"/>
        <rFont val="Century Gothic"/>
        <family val="2"/>
        <scheme val="minor"/>
      </rPr>
      <t xml:space="preserve">Narb.
</t>
    </r>
    <r>
      <rPr>
        <sz val="10"/>
        <color rgb="FFFF0000"/>
        <rFont val="Century Gothic"/>
        <family val="2"/>
        <scheme val="minor"/>
      </rPr>
      <t xml:space="preserve">200528 - M2 - ACE - VD!
</t>
    </r>
    <r>
      <rPr>
        <sz val="10"/>
        <rFont val="Century Gothic"/>
        <family val="2"/>
        <scheme val="minor"/>
      </rPr>
      <t>Déchetterie
ranger dépôt</t>
    </r>
  </si>
  <si>
    <r>
      <rPr>
        <sz val="10"/>
        <color rgb="FF0070C0"/>
        <rFont val="Century Gothic"/>
        <family val="2"/>
        <scheme val="minor"/>
      </rPr>
      <t xml:space="preserve">200557 - R - Dumauthioz
200578 - R - MINO
</t>
    </r>
    <r>
      <rPr>
        <sz val="10"/>
        <rFont val="Century Gothic"/>
        <family val="2"/>
        <scheme val="minor"/>
      </rPr>
      <t xml:space="preserve">Peindre la porte en blanc
</t>
    </r>
    <r>
      <rPr>
        <sz val="10"/>
        <color rgb="FF00B050"/>
        <rFont val="Century Gothic"/>
        <family val="2"/>
        <scheme val="minor"/>
      </rPr>
      <t>200574 - L - Monin - VD</t>
    </r>
    <r>
      <rPr>
        <sz val="10"/>
        <color rgb="FFFF0000"/>
        <rFont val="Century Gothic"/>
        <family val="2"/>
        <scheme val="minor"/>
      </rPr>
      <t xml:space="preserve">
567 - M2 - GAGNERE - 13:30 VD
</t>
    </r>
    <r>
      <rPr>
        <sz val="10"/>
        <color rgb="FF00B050"/>
        <rFont val="Century Gothic"/>
        <family val="2"/>
        <scheme val="minor"/>
      </rPr>
      <t>200580 - L - Orllati - VD</t>
    </r>
  </si>
  <si>
    <r>
      <t xml:space="preserve">200448/200503 - M2 - Grisoni - FR
200470/200518 - M2 - Halter - FR
</t>
    </r>
    <r>
      <rPr>
        <sz val="10"/>
        <color rgb="FF00B050"/>
        <rFont val="Century Gothic"/>
        <family val="2"/>
        <scheme val="minor"/>
      </rPr>
      <t>200404 - L - Blaise Frelechoux - FR</t>
    </r>
  </si>
  <si>
    <r>
      <t xml:space="preserve">7h30 - Table ronde Team
</t>
    </r>
    <r>
      <rPr>
        <sz val="10"/>
        <color rgb="FF0070C0"/>
        <rFont val="Century Gothic"/>
        <family val="2"/>
        <scheme val="minor"/>
      </rPr>
      <t>200585/200591 - R - Camandona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200589/200597 - R - Frutiger - BE
200577 - R - Grisoni - FR
</t>
    </r>
    <r>
      <rPr>
        <sz val="10"/>
        <color theme="8" tint="-0.249977111117893"/>
        <rFont val="Century Gothic"/>
        <family val="2"/>
        <scheme val="minor"/>
      </rPr>
      <t>200517 - HRS Real Estate - JU</t>
    </r>
  </si>
  <si>
    <r>
      <t xml:space="preserve">7h30 VW au garage Lausanne!
</t>
    </r>
    <r>
      <rPr>
        <sz val="10"/>
        <color rgb="FFFF0000"/>
        <rFont val="Century Gothic"/>
        <family val="2"/>
        <scheme val="minor"/>
      </rPr>
      <t>FT 573 - rendre parasol - J. Buchs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FT577 - Ropraz - FR
200605 - L - Grisoni - FR
</t>
    </r>
    <r>
      <rPr>
        <sz val="10"/>
        <color rgb="FFFF0000"/>
        <rFont val="Century Gothic"/>
        <family val="2"/>
        <scheme val="minor"/>
      </rPr>
      <t>FT570 - M2 - Steiner - FR</t>
    </r>
  </si>
  <si>
    <r>
      <t xml:space="preserve">200424 - M2- Halter - GE Déménagement!
FT 575 - Reprise matériel sur chantier Halter
FT578 - Déménagement ordinateur
</t>
    </r>
    <r>
      <rPr>
        <sz val="10"/>
        <color rgb="FF00B050"/>
        <rFont val="Century Gothic"/>
        <family val="2"/>
        <scheme val="minor"/>
      </rPr>
      <t>200586 - L - Belloni - GE!
200584 - L - Implenia - GE!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200592 - L - Cuénod - VD!
200607 - L - PB Pain Brioche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200606 - L - Maulini - GE </t>
    </r>
    <r>
      <rPr>
        <b/>
        <sz val="10"/>
        <color rgb="FF00B050"/>
        <rFont val="Century Gothic"/>
        <family val="2"/>
        <scheme val="minor"/>
      </rPr>
      <t>AVANT MIDI</t>
    </r>
  </si>
  <si>
    <r>
      <t xml:space="preserve">200562/200563 - L - Implenia - GE -  Livraison matin!
200590 - R - Rampini - GE!
200593 - L - Cuénod - GE
</t>
    </r>
    <r>
      <rPr>
        <sz val="10"/>
        <color rgb="FF0070C0"/>
        <rFont val="Century Gothic"/>
        <family val="2"/>
        <scheme val="minor"/>
      </rPr>
      <t>200608/200461/200613 - R - Riedo - FR
200619 - R - Equipements Pro</t>
    </r>
    <r>
      <rPr>
        <sz val="10"/>
        <color rgb="FF00B050"/>
        <rFont val="Century Gothic"/>
        <family val="2"/>
        <scheme val="minor"/>
      </rPr>
      <t xml:space="preserve">
</t>
    </r>
  </si>
  <si>
    <r>
      <rPr>
        <sz val="10"/>
        <color rgb="FF0070C0"/>
        <rFont val="Century Gothic"/>
        <family val="2"/>
        <scheme val="minor"/>
      </rPr>
      <t>200614 - R - Camandona - VD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200507 - R - Colas - GE
191003 - R - Piasio - GE
200629 - R - Camandona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200604 - M2 - Cons. Camandona - VD
579 - M2 - RENTAS - VD</t>
    </r>
  </si>
  <si>
    <t xml:space="preserve">
</t>
  </si>
  <si>
    <t xml:space="preserve">200391 - R - Fagsi - LU
200627/200628 - R - Frutiger - BE
200623 - R - Aromwave - VD
FT583 - R - Nasca - VS
200638 - R - HRS - VD
200633 - R - Bricks - BS
200625 - R - Piasio - GE
200624 - R - Colas - GE
</t>
  </si>
  <si>
    <r>
      <t xml:space="preserve">
Arrivage Narbutas?
Récup. Steiner - loc. FT 563 - BS 9h30-10h30!h
</t>
    </r>
    <r>
      <rPr>
        <sz val="10"/>
        <color rgb="FF00B050"/>
        <rFont val="Century Gothic"/>
        <family val="2"/>
        <scheme val="minor"/>
      </rPr>
      <t xml:space="preserve">200448 - L - Grisoni - FR
</t>
    </r>
    <r>
      <rPr>
        <sz val="10"/>
        <color rgb="FFFF0000"/>
        <rFont val="Century Gothic"/>
        <family val="2"/>
        <scheme val="minor"/>
      </rPr>
      <t xml:space="preserve">200615 - M2 - Halter - FR
</t>
    </r>
  </si>
  <si>
    <r>
      <t xml:space="preserve">200635 - L - Perret - GE
</t>
    </r>
    <r>
      <rPr>
        <sz val="10"/>
        <color rgb="FFFF0000"/>
        <rFont val="Century Gothic"/>
        <family val="2"/>
        <scheme val="minor"/>
      </rPr>
      <t>200632 - M2 - Losinger - GE</t>
    </r>
    <r>
      <rPr>
        <sz val="10"/>
        <color rgb="FF00B050"/>
        <rFont val="Century Gothic"/>
        <family val="2"/>
        <scheme val="minor"/>
      </rPr>
      <t xml:space="preserve"> - </t>
    </r>
    <r>
      <rPr>
        <sz val="10"/>
        <color rgb="FFFF0000"/>
        <rFont val="Century Gothic"/>
        <family val="2"/>
        <scheme val="minor"/>
      </rPr>
      <t>Marchandise reprise - fausse livraison</t>
    </r>
  </si>
  <si>
    <r>
      <rPr>
        <b/>
        <sz val="10"/>
        <color theme="1"/>
        <rFont val="Century Gothic"/>
        <family val="2"/>
        <scheme val="minor"/>
      </rPr>
      <t>GG en vacances 03.-10.07
Arrivage Vestar 8h30 in Chiassio - ca. 15h00 à Romanel Micro-ondes</t>
    </r>
    <r>
      <rPr>
        <sz val="10"/>
        <color theme="8"/>
        <rFont val="Century Gothic"/>
        <family val="2"/>
        <scheme val="minor"/>
      </rPr>
      <t xml:space="preserve">
200385 - S - Heitkamp - GL
</t>
    </r>
    <r>
      <rPr>
        <sz val="10"/>
        <color rgb="FF7030A0"/>
        <rFont val="Century Gothic"/>
        <family val="2"/>
        <scheme val="minor"/>
      </rPr>
      <t xml:space="preserve">200622 - 200647 - F - Perret
</t>
    </r>
    <r>
      <rPr>
        <sz val="10"/>
        <color rgb="FF0070C0"/>
        <rFont val="Century Gothic"/>
        <family val="2"/>
        <scheme val="minor"/>
      </rPr>
      <t xml:space="preserve">200637 - R - Riedo - BE
200626 - R - Implenia - VD
200657 - R - Riedo - FR
200646 - R - PORR - BE
</t>
    </r>
  </si>
  <si>
    <r>
      <t xml:space="preserve">7h30 Mercedes au garage Echandens!
Arrivage Vestar 8h30 in Chiassio - ca. 15h00 à Romanel 2247 frigos
</t>
    </r>
    <r>
      <rPr>
        <sz val="10"/>
        <color rgb="FF00B050"/>
        <rFont val="Century Gothic"/>
        <family val="2"/>
        <scheme val="minor"/>
      </rPr>
      <t>200611/200560 - L - Implenia - GE
200652 - L - Perret - GE
200641 - L - Laurent Membrez - VD</t>
    </r>
    <r>
      <rPr>
        <sz val="10"/>
        <color rgb="FF0070C0"/>
        <rFont val="Century Gothic"/>
        <family val="2"/>
        <scheme val="minor"/>
      </rPr>
      <t xml:space="preserve">
</t>
    </r>
  </si>
  <si>
    <r>
      <t xml:space="preserve">200654 - L - Perrin - VD
200650/200649 L - Piasio - GE
200587 - L - Belloni - GE
200617/200621 - L - Orllati - VD
</t>
    </r>
    <r>
      <rPr>
        <sz val="10"/>
        <color rgb="FF0070C0"/>
        <rFont val="Century Gothic"/>
        <family val="2"/>
        <scheme val="minor"/>
      </rPr>
      <t xml:space="preserve">200663  R - Implenia 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200664 - R - Camandona - VD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200661 - R - Laurent Membrez - VD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FT582 - R - Coldtec - DPD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200668 - R - Losinger - GE
200616 - R - CTM 4J for JAG - GE
200620 - R - Bernasconi - NE
200648 - R - Implenia</t>
    </r>
  </si>
  <si>
    <r>
      <t xml:space="preserve">200659 - R - JPF - JU
200671 - R - Constr. Perret - GE
200640/200645 - R - WL Bau - LU
200674 - R - Equipement Pro
</t>
    </r>
    <r>
      <rPr>
        <sz val="10"/>
        <color rgb="FFFF0000"/>
        <rFont val="Century Gothic"/>
        <family val="2"/>
        <scheme val="minor"/>
      </rPr>
      <t xml:space="preserve">200655 - M2 - Steiner - GE
</t>
    </r>
    <r>
      <rPr>
        <sz val="10"/>
        <color rgb="FF7030A0"/>
        <rFont val="Century Gothic"/>
        <family val="2"/>
        <scheme val="minor"/>
      </rPr>
      <t>200677 - F - Laurent Membrez - VD</t>
    </r>
    <r>
      <rPr>
        <sz val="10"/>
        <color rgb="FF0070C0"/>
        <rFont val="Century Gothic"/>
        <family val="2"/>
        <scheme val="minor"/>
      </rPr>
      <t xml:space="preserve">
</t>
    </r>
  </si>
  <si>
    <t xml:space="preserve">200643 - R - Piasio - GE
200680 - R - Laurent Membrez </t>
  </si>
  <si>
    <r>
      <rPr>
        <b/>
        <sz val="10"/>
        <color theme="1" tint="0.249977111117893"/>
        <rFont val="Century Gothic"/>
        <family val="2"/>
        <scheme val="minor"/>
      </rPr>
      <t xml:space="preserve">Nettoyage camions - pose logo
Arrivage Narbutas 2411/14/19/23
</t>
    </r>
    <r>
      <rPr>
        <sz val="10"/>
        <color rgb="FF00B050"/>
        <rFont val="Century Gothic"/>
        <family val="2"/>
        <scheme val="minor"/>
      </rPr>
      <t xml:space="preserve">200679 - L - Cons. Electro Millenium - VD
</t>
    </r>
    <r>
      <rPr>
        <sz val="10"/>
        <color rgb="FF0070C0"/>
        <rFont val="Century Gothic"/>
        <family val="2"/>
        <scheme val="minor"/>
      </rPr>
      <t xml:space="preserve">200642 - R - Colas - GE
200681 - R - Losinger - GE
</t>
    </r>
    <r>
      <rPr>
        <sz val="10"/>
        <color theme="1"/>
        <rFont val="Century Gothic"/>
        <family val="2"/>
        <scheme val="minor"/>
      </rPr>
      <t xml:space="preserve">Déchetterie?
</t>
    </r>
  </si>
  <si>
    <r>
      <t xml:space="preserve">
</t>
    </r>
    <r>
      <rPr>
        <sz val="10"/>
        <color theme="1"/>
        <rFont val="Century Gothic"/>
        <family val="2"/>
        <scheme val="minor"/>
      </rPr>
      <t>Pose logo sur camion dès 16h30</t>
    </r>
    <r>
      <rPr>
        <b/>
        <sz val="10"/>
        <color theme="1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200685 - R - Halter - GE</t>
    </r>
  </si>
  <si>
    <t>200686/FT588 - L - Frutiger - BE
200653 - L - QoQa - VD
200687 - L - Orllati - VD</t>
  </si>
  <si>
    <r>
      <rPr>
        <b/>
        <sz val="10"/>
        <color theme="1"/>
        <rFont val="Century Gothic"/>
        <family val="2"/>
        <scheme val="minor"/>
      </rPr>
      <t xml:space="preserve">
Arrivage Mades 2330/2339/2353</t>
    </r>
    <r>
      <rPr>
        <sz val="10"/>
        <color theme="1"/>
        <rFont val="Century Gothic"/>
        <family val="2"/>
        <scheme val="minor"/>
      </rPr>
      <t xml:space="preserve">
Pose logo sur camion dès 16h30
</t>
    </r>
    <r>
      <rPr>
        <sz val="10"/>
        <color rgb="FFFF0000"/>
        <rFont val="Century Gothic"/>
        <family val="2"/>
        <scheme val="minor"/>
      </rPr>
      <t>200483/200536 - M2 - Ferra - VD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200656 - R - Riedo/CSL - BE!!!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7030A0"/>
        <rFont val="Century Gothic"/>
        <family val="2"/>
        <scheme val="minor"/>
      </rPr>
      <t>200686 - F - Frutiger - BE</t>
    </r>
  </si>
  <si>
    <r>
      <t xml:space="preserve">200228 - R - Ecole Martigny - VS
200686/200630/200594/200279 - R - Frutiger - BE
200658 - R - Riedo - FR
200692 - R - Nasca Formation
200493 - R - Cuénod - GE
200610 - R - Implenia - GE
200356 - R - Soreval - GE
200651 - R - Piasio - GE
200684 - R - Halter - GE
200694 - R - Avesco Rent - VS
200697 - R - Perrin - VD
</t>
    </r>
    <r>
      <rPr>
        <sz val="10"/>
        <color rgb="FFFF0000"/>
        <rFont val="Century Gothic"/>
        <family val="2"/>
        <scheme val="minor"/>
      </rPr>
      <t xml:space="preserve">200632 - M2 - Losinger - GE
</t>
    </r>
    <r>
      <rPr>
        <sz val="10"/>
        <color rgb="FF00B050"/>
        <rFont val="Century Gothic"/>
        <family val="2"/>
        <scheme val="minor"/>
      </rPr>
      <t xml:space="preserve">200603 - L - Cuénod - GE
</t>
    </r>
    <r>
      <rPr>
        <sz val="10"/>
        <color rgb="FF0070C0"/>
        <rFont val="Century Gothic"/>
        <family val="2"/>
        <scheme val="minor"/>
      </rPr>
      <t xml:space="preserve">FT587 - R - Riedo - FR
</t>
    </r>
  </si>
  <si>
    <r>
      <t xml:space="preserve">Victor en vacances 20.07-07.08
</t>
    </r>
    <r>
      <rPr>
        <sz val="10"/>
        <color theme="1"/>
        <rFont val="Century Gothic"/>
        <family val="2"/>
        <scheme val="minor"/>
      </rPr>
      <t>Chercher palettes Coop Aclens</t>
    </r>
    <r>
      <rPr>
        <b/>
        <sz val="10"/>
        <color theme="1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200703 - R - Anliker - LU
200695 - R - Dénériaz - VS
200678 - R - Colas - GE
200708 R - Digicom - VS
200710 - R - Marti 
</t>
    </r>
    <r>
      <rPr>
        <sz val="10"/>
        <color rgb="FF00B050"/>
        <rFont val="Century Gothic"/>
        <family val="2"/>
        <scheme val="minor"/>
      </rPr>
      <t>200715 - L - Equipement Pro - VD</t>
    </r>
    <r>
      <rPr>
        <sz val="10"/>
        <color rgb="FF0070C0"/>
        <rFont val="Century Gothic"/>
        <family val="2"/>
        <scheme val="minor"/>
      </rPr>
      <t xml:space="preserve">
</t>
    </r>
  </si>
  <si>
    <r>
      <t xml:space="preserve">FT 572 - M2 - Projet-Co - VD!
</t>
    </r>
    <r>
      <rPr>
        <sz val="10"/>
        <color rgb="FF0070C0"/>
        <rFont val="Century Gothic"/>
        <family val="2"/>
        <scheme val="minor"/>
      </rPr>
      <t xml:space="preserve">200717 - R - Cons. 4J for JAG
</t>
    </r>
    <r>
      <rPr>
        <sz val="10"/>
        <color rgb="FF00B050"/>
        <rFont val="Century Gothic"/>
        <family val="2"/>
        <scheme val="minor"/>
      </rPr>
      <t>200662 - L - Laurent Membrez - VD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theme="1"/>
        <rFont val="Century Gothic"/>
        <family val="2"/>
        <scheme val="minor"/>
      </rPr>
      <t>Déchetterie/Récup. Palettes Coop</t>
    </r>
    <r>
      <rPr>
        <sz val="10"/>
        <color rgb="FF0070C0"/>
        <rFont val="Century Gothic"/>
        <family val="2"/>
        <scheme val="minor"/>
      </rPr>
      <t xml:space="preserve">
</t>
    </r>
  </si>
  <si>
    <r>
      <t xml:space="preserve">Victor libéré au plus tard à 15h00
</t>
    </r>
    <r>
      <rPr>
        <sz val="10"/>
        <color rgb="FFFF0000"/>
        <rFont val="Century Gothic"/>
        <family val="2"/>
        <scheme val="minor"/>
      </rPr>
      <t xml:space="preserve">200581 - M2 - Halter - FR?
200561 - M2 - Steiner - FR16
</t>
    </r>
    <r>
      <rPr>
        <sz val="10"/>
        <color rgb="FF00B050"/>
        <rFont val="Century Gothic"/>
        <family val="2"/>
        <scheme val="minor"/>
      </rPr>
      <t xml:space="preserve">200448/200579/200660/200665 - L - Grisoni - FR?
</t>
    </r>
    <r>
      <rPr>
        <sz val="10"/>
        <color rgb="FF0070C0"/>
        <rFont val="Century Gothic"/>
        <family val="2"/>
        <scheme val="minor"/>
      </rPr>
      <t xml:space="preserve">200709 - R - Equipement PRO
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</si>
  <si>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t xml:space="preserve">Arrivage Narbutas 2427/28/2385
</t>
    </r>
    <r>
      <rPr>
        <sz val="10"/>
        <color rgb="FF00B050"/>
        <rFont val="Century Gothic"/>
        <family val="2"/>
        <scheme val="minor"/>
      </rPr>
      <t xml:space="preserve">200699 - L - Labo. Mined'Or - VD
</t>
    </r>
    <r>
      <rPr>
        <sz val="10"/>
        <color rgb="FFFF0000"/>
        <rFont val="Century Gothic"/>
        <family val="2"/>
        <scheme val="minor"/>
      </rPr>
      <t xml:space="preserve">FT592 - ECM - Récup. Mobilier - VS
</t>
    </r>
    <r>
      <rPr>
        <sz val="10"/>
        <color rgb="FF0070C0"/>
        <rFont val="Century Gothic"/>
        <family val="2"/>
        <scheme val="minor"/>
      </rPr>
      <t>200707 - R - Camandona
200706 - R - Camandona
200719 - R - Martin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</si>
  <si>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t xml:space="preserve">200670 - S - DM Bau - BE
</t>
    </r>
    <r>
      <rPr>
        <sz val="10"/>
        <color rgb="FF00B050"/>
        <rFont val="Century Gothic"/>
        <family val="2"/>
        <scheme val="minor"/>
      </rPr>
      <t>200691 - L - Perillat - GE 
200718 - L - Mercuri - VD</t>
    </r>
    <r>
      <rPr>
        <sz val="10"/>
        <color theme="8" tint="-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200723 - R - JPF - VD</t>
    </r>
  </si>
  <si>
    <r>
      <t xml:space="preserve">Arrivage MOBIKA 2450 extras!
</t>
    </r>
    <r>
      <rPr>
        <sz val="10"/>
        <color rgb="FF0070C0"/>
        <rFont val="Century Gothic"/>
        <family val="2"/>
        <scheme val="minor"/>
      </rPr>
      <t xml:space="preserve">200722 - R - Frutiger
200732 - 200733 - R - JPF
200734 - R - Losinger
</t>
    </r>
    <r>
      <rPr>
        <sz val="10"/>
        <color rgb="FFFF0000"/>
        <rFont val="Century Gothic"/>
        <family val="2"/>
        <scheme val="minor"/>
      </rPr>
      <t xml:space="preserve">190808 - M2 - Simond - VD
</t>
    </r>
    <r>
      <rPr>
        <sz val="10"/>
        <color rgb="FFFFC000"/>
        <rFont val="Century Gothic"/>
        <family val="2"/>
        <scheme val="minor"/>
      </rPr>
      <t>200721 - S - Fagsi</t>
    </r>
    <r>
      <rPr>
        <sz val="10"/>
        <color theme="1" tint="0.249977111117893"/>
        <rFont val="Century Gothic"/>
        <family val="2"/>
        <scheme val="minor"/>
      </rPr>
      <t xml:space="preserve">
</t>
    </r>
  </si>
  <si>
    <r>
      <t xml:space="preserve">Bettina en vacances 27.07-07.08
</t>
    </r>
    <r>
      <rPr>
        <sz val="10"/>
        <color rgb="FF00B050"/>
        <rFont val="Century Gothic"/>
        <family val="2"/>
        <scheme val="minor"/>
      </rPr>
      <t xml:space="preserve">200713 - L - Marti - GE?
200724 - L - Maulini - GE?
</t>
    </r>
    <r>
      <rPr>
        <sz val="10"/>
        <color rgb="FF7030A0"/>
        <rFont val="Century Gothic"/>
        <family val="2"/>
        <scheme val="minor"/>
      </rPr>
      <t xml:space="preserve">200725 - F - Maulini - GE
</t>
    </r>
    <r>
      <rPr>
        <sz val="10"/>
        <color rgb="FF00B050"/>
        <rFont val="Century Gothic"/>
        <family val="2"/>
        <scheme val="minor"/>
      </rPr>
      <t>593 - L - Perillat - GE</t>
    </r>
    <r>
      <rPr>
        <b/>
        <sz val="10"/>
        <color theme="1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200735 - R - 4J for JAG</t>
    </r>
    <r>
      <rPr>
        <b/>
        <sz val="10"/>
        <color theme="1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200736 - R - Implenia</t>
    </r>
  </si>
  <si>
    <r>
      <t xml:space="preserve">200698 - M3 - Avesco - VS?
</t>
    </r>
    <r>
      <rPr>
        <sz val="10"/>
        <color rgb="FF0070C0"/>
        <rFont val="Century Gothic"/>
        <family val="2"/>
        <scheme val="minor"/>
      </rPr>
      <t>200742 - R - Laurent Membrez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200743 - R - Semo
200744 - R - Grisoni</t>
    </r>
  </si>
  <si>
    <r>
      <t xml:space="preserve">200476 - R - Perrin
</t>
    </r>
    <r>
      <rPr>
        <sz val="10"/>
        <color rgb="FFFF0000"/>
        <rFont val="Century Gothic"/>
        <family val="2"/>
        <scheme val="minor"/>
      </rPr>
      <t>200568 - M1 - ERNE - VD</t>
    </r>
  </si>
  <si>
    <r>
      <t xml:space="preserve">200547 - M2 - AC Immune - VD
</t>
    </r>
    <r>
      <rPr>
        <sz val="10"/>
        <color rgb="FF0070C0"/>
        <rFont val="Century Gothic"/>
        <family val="2"/>
        <scheme val="minor"/>
      </rPr>
      <t>200750 - R - Camandona
200754 - R -  Piasio
200726 - R - GAP
200753 - R - Piasio
200755 - R - Riedo</t>
    </r>
  </si>
  <si>
    <r>
      <t xml:space="preserve">200547 - M2 - AC Immune - VD
</t>
    </r>
    <r>
      <rPr>
        <sz val="10"/>
        <color rgb="FF0070C0"/>
        <rFont val="Century Gothic"/>
        <family val="2"/>
        <scheme val="minor"/>
      </rPr>
      <t>200759 - R - Marti</t>
    </r>
  </si>
  <si>
    <r>
      <t xml:space="preserve">
Bilel en vacances 03.-14.08
</t>
    </r>
    <r>
      <rPr>
        <sz val="10"/>
        <color rgb="FFFFC000"/>
        <rFont val="Century Gothic"/>
        <family val="2"/>
        <scheme val="minor"/>
      </rPr>
      <t xml:space="preserve">200727 - S - ERNE
</t>
    </r>
    <r>
      <rPr>
        <sz val="10"/>
        <color rgb="FF0070C0"/>
        <rFont val="Century Gothic"/>
        <family val="2"/>
        <scheme val="minor"/>
      </rPr>
      <t>200766 - R - Orllati</t>
    </r>
    <r>
      <rPr>
        <b/>
        <sz val="10"/>
        <color theme="1"/>
        <rFont val="Century Gothic"/>
        <family val="2"/>
        <scheme val="minor"/>
      </rPr>
      <t xml:space="preserve">
</t>
    </r>
  </si>
  <si>
    <t>200299 - R - EMS Novalles
200773 - R - Laurent Membrez</t>
  </si>
  <si>
    <r>
      <t xml:space="preserve">Arrivage MADES 2363/2377!
</t>
    </r>
    <r>
      <rPr>
        <sz val="10"/>
        <color rgb="FF0070C0"/>
        <rFont val="Century Gothic"/>
        <family val="2"/>
        <scheme val="minor"/>
      </rPr>
      <t>200779 - R - Implenia</t>
    </r>
  </si>
  <si>
    <r>
      <rPr>
        <sz val="10"/>
        <rFont val="Century Gothic"/>
        <family val="2"/>
        <scheme val="minor"/>
      </rPr>
      <t>Arrivage Mades 2363/2377</t>
    </r>
    <r>
      <rPr>
        <sz val="10"/>
        <color rgb="FFFFC000"/>
        <rFont val="Century Gothic"/>
        <family val="2"/>
        <scheme val="minor"/>
      </rPr>
      <t xml:space="preserve">
200728 - S - Avesco
</t>
    </r>
    <r>
      <rPr>
        <sz val="10"/>
        <color rgb="FF0070C0"/>
        <rFont val="Century Gothic"/>
        <family val="2"/>
        <scheme val="minor"/>
      </rPr>
      <t xml:space="preserve">200690 - R - Riedo - LU
200689 - 200690 - 200729 - R - Frutiger
</t>
    </r>
    <r>
      <rPr>
        <sz val="10"/>
        <color rgb="FFFFC000"/>
        <rFont val="Century Gothic"/>
        <family val="2"/>
        <scheme val="minor"/>
      </rPr>
      <t>200774 - S - Infra Tunnel</t>
    </r>
  </si>
  <si>
    <r>
      <t xml:space="preserve">200790 - R - 4JforJAG
200782 - R - Equipement PRO
200787 - R - Riedo
</t>
    </r>
    <r>
      <rPr>
        <sz val="10"/>
        <color theme="1"/>
        <rFont val="Century Gothic"/>
        <family val="2"/>
        <scheme val="minor"/>
      </rPr>
      <t>Arrivage BS 2410/2448/2466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theme="1"/>
        <rFont val="Century Gothic"/>
        <family val="2"/>
        <scheme val="minor"/>
      </rPr>
      <t>Arrivage MOBIKA 2469
Récupérer palettes à la COOP</t>
    </r>
  </si>
  <si>
    <r>
      <rPr>
        <sz val="10"/>
        <color rgb="FF0070C0"/>
        <rFont val="Century Gothic"/>
        <family val="2"/>
        <scheme val="minor"/>
      </rPr>
      <t>200696 - R - Avesco - VS</t>
    </r>
    <r>
      <rPr>
        <sz val="10"/>
        <color rgb="FFFF0000"/>
        <rFont val="Century Gothic"/>
        <family val="2"/>
        <scheme val="minor"/>
      </rPr>
      <t xml:space="preserve">
</t>
    </r>
  </si>
  <si>
    <t>200785 - R - Equipement Pro
200781 - 200782 - R - Perillat
200758 - 200765 - R - Frutiger
200711 - R - Anilker
200557 - R - Equipement Pro</t>
  </si>
  <si>
    <r>
      <rPr>
        <sz val="10"/>
        <color rgb="FFFFC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200796 - R - Equipements Pro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200800 - R - Orllati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200775 - R - Garat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200798 - R - Steiner - GE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200780 - R - Steiner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200783 - R - Equipement Pro - VD
200786 - R - Equipement Pro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200806 - R - Implenia - VD</t>
    </r>
  </si>
  <si>
    <r>
      <t xml:space="preserve">200793 - M2 - Viveo Group - VD
</t>
    </r>
    <r>
      <rPr>
        <sz val="10"/>
        <color rgb="FF0070C0"/>
        <rFont val="Century Gothic"/>
        <family val="2"/>
        <scheme val="minor"/>
      </rPr>
      <t xml:space="preserve">200807 - R - Equipement Pro 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FFC000"/>
        <rFont val="Century Gothic"/>
        <family val="2"/>
        <scheme val="minor"/>
      </rPr>
      <t>200740 - S - Heitkamp - GL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FFC000"/>
        <rFont val="Century Gothic"/>
        <family val="2"/>
        <scheme val="minor"/>
      </rPr>
      <t>200737/200771- S - Heitkamp - GL</t>
    </r>
    <r>
      <rPr>
        <sz val="10"/>
        <color rgb="FFFF0000"/>
        <rFont val="Century Gothic"/>
        <family val="2"/>
        <scheme val="minor"/>
      </rPr>
      <t xml:space="preserve">
200808 - R - Seydoux</t>
    </r>
  </si>
  <si>
    <t xml:space="preserve">200666 - R - Sersa
200777 - R - Jäggi
200767 - R - Consortium Piasio Implenia
200794 - R - Multietch - JU
200795 - R - Grisoni - FR
</t>
  </si>
  <si>
    <r>
      <rPr>
        <sz val="10"/>
        <color rgb="FF0070C0"/>
        <rFont val="Century Gothic"/>
        <family val="2"/>
        <scheme val="minor"/>
      </rPr>
      <t>FT602 - R - Frutiger - BE
200811 - R - Orllati</t>
    </r>
    <r>
      <rPr>
        <sz val="10"/>
        <color rgb="FFFF0000"/>
        <rFont val="Century Gothic"/>
        <family val="2"/>
        <scheme val="minor"/>
      </rPr>
      <t xml:space="preserve">
200538 - 200548 - M2 - Burke - VD
599 - M2 - CBRE
</t>
    </r>
    <r>
      <rPr>
        <sz val="10"/>
        <color rgb="FF0070C0"/>
        <rFont val="Century Gothic"/>
        <family val="2"/>
        <scheme val="minor"/>
      </rPr>
      <t>200784 - R - Equipement PRO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200788 - R - USB factory - VD</t>
    </r>
  </si>
  <si>
    <r>
      <t xml:space="preserve">
</t>
    </r>
    <r>
      <rPr>
        <sz val="10"/>
        <color rgb="FFFF0000"/>
        <rFont val="Century Gothic"/>
        <family val="2"/>
        <scheme val="minor"/>
      </rPr>
      <t>597 - M4 - UNISANTE - VD - 9:00h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200804 - R - Orllati - VD</t>
    </r>
    <r>
      <rPr>
        <sz val="10"/>
        <color theme="1" tint="0.249977111117893"/>
        <rFont val="Century Gothic"/>
        <family val="2"/>
        <scheme val="minor"/>
      </rPr>
      <t xml:space="preserve">!
</t>
    </r>
    <r>
      <rPr>
        <sz val="10"/>
        <color rgb="FF0070C0"/>
        <rFont val="Century Gothic"/>
        <family val="2"/>
        <scheme val="minor"/>
      </rPr>
      <t>200810 - R - Frutiger - BE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200819 - R - Equipements Pro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200700 - R - Heitkamp - GL
200824 - R - Riedo - BE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200827 - R - Jäggi - ZH</t>
    </r>
  </si>
  <si>
    <r>
      <rPr>
        <sz val="10"/>
        <color theme="1"/>
        <rFont val="Century Gothic"/>
        <family val="2"/>
        <scheme val="minor"/>
      </rPr>
      <t>Arrivage MADES 2393 - M2 - 13h00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>Arrivage Narbutas 2432/46/51/55/27 2385/2167</t>
    </r>
    <r>
      <rPr>
        <sz val="10"/>
        <color rgb="FFFF0000"/>
        <rFont val="Century Gothic"/>
        <family val="2"/>
        <scheme val="minor"/>
      </rPr>
      <t xml:space="preserve">
200508 - M2 - AC Immune! démonter la BOX dans le showroom
</t>
    </r>
    <r>
      <rPr>
        <sz val="10"/>
        <color rgb="FF0070C0"/>
        <rFont val="Century Gothic"/>
        <family val="2"/>
        <scheme val="minor"/>
      </rPr>
      <t>FT602 - R - Frutiger - BE
200820 - R - Riedo - BE
200823/200822 - R - Camandona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</si>
  <si>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 SAV 576 - RIEDO - ZH
</t>
    </r>
    <r>
      <rPr>
        <sz val="10"/>
        <color rgb="FF0070C0"/>
        <rFont val="Century Gothic"/>
        <family val="2"/>
        <scheme val="minor"/>
      </rPr>
      <t xml:space="preserve">200825 - R - Marti Constr. - GE 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200808 - R - B. Seydoux?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200815 - R - Yokoi Tomoka</t>
    </r>
  </si>
  <si>
    <r>
      <t xml:space="preserve">GG en vacances 21.08-04.09
</t>
    </r>
    <r>
      <rPr>
        <sz val="10"/>
        <color rgb="FFFF0000"/>
        <rFont val="Century Gothic"/>
        <family val="2"/>
        <scheme val="minor"/>
      </rPr>
      <t xml:space="preserve">FT 594 - M1 - Simond - VD </t>
    </r>
    <r>
      <rPr>
        <b/>
        <sz val="10"/>
        <color theme="1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FT 603 - L - C. Dumathioz - VD</t>
    </r>
    <r>
      <rPr>
        <b/>
        <sz val="10"/>
        <color theme="1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200831 - R - V. Ducrot</t>
    </r>
  </si>
  <si>
    <r>
      <t xml:space="preserve">Victor absent les a-m du 24.08 au 23.10.2020
</t>
    </r>
    <r>
      <rPr>
        <sz val="10"/>
        <color rgb="FFFF0000"/>
        <rFont val="Century Gothic"/>
        <family val="2"/>
        <scheme val="minor"/>
      </rPr>
      <t>200778 - M2 - BmyB - GE!</t>
    </r>
    <r>
      <rPr>
        <b/>
        <sz val="1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FT 590 - M1 - Adobes - VD!</t>
    </r>
    <r>
      <rPr>
        <b/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200688 - R - Equipements Pro - FR</t>
    </r>
    <r>
      <rPr>
        <b/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200832 - R - Belloni - GE</t>
    </r>
  </si>
  <si>
    <r>
      <rPr>
        <sz val="10"/>
        <color rgb="FF0070C0"/>
        <rFont val="Century Gothic"/>
        <family val="2"/>
        <scheme val="minor"/>
      </rPr>
      <t>200833 - R - Implenia - VD
200818 - R - Heitkamp - GL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200837 - R - Fagsi - LU 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200757 - R - Equipements Pro - FR
200844 - R - Grisoni - FR
200847/200846 - R - Frutiger - BE</t>
    </r>
    <r>
      <rPr>
        <sz val="10"/>
        <color theme="1"/>
        <rFont val="Century Gothic"/>
        <family val="2"/>
        <scheme val="minor"/>
      </rPr>
      <t xml:space="preserve">
Déchetterie/Récup. Palettes</t>
    </r>
  </si>
  <si>
    <r>
      <t xml:space="preserve">Arrivage Mades 2406
</t>
    </r>
    <r>
      <rPr>
        <sz val="10"/>
        <color rgb="FFFFC000"/>
        <rFont val="Century Gothic"/>
        <family val="2"/>
        <scheme val="minor"/>
      </rPr>
      <t>200792/200737 - S - Heitkamp - GL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200836 - R - JPF - FR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200826 - R - HRS - VD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200849 - R - Riedo - BE 28.08.2020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200618 - R - Edifea - VS! 01.09.2020</t>
    </r>
  </si>
  <si>
    <r>
      <t xml:space="preserve">
</t>
    </r>
    <r>
      <rPr>
        <sz val="10"/>
        <rFont val="Century Gothic"/>
        <family val="2"/>
        <scheme val="minor"/>
      </rPr>
      <t>FT 472 - Récup. Vestiaires - Restostep</t>
    </r>
    <r>
      <rPr>
        <sz val="10"/>
        <color rgb="FF0070C0"/>
        <rFont val="Century Gothic"/>
        <family val="2"/>
        <scheme val="minor"/>
      </rPr>
      <t xml:space="preserve">
200855 - R - Implenia - GE</t>
    </r>
  </si>
  <si>
    <r>
      <t xml:space="preserve">200838 - R - Digicom 
200839 - R - L. Buissard
</t>
    </r>
    <r>
      <rPr>
        <sz val="10"/>
        <color rgb="FF00B050"/>
        <rFont val="Century Gothic"/>
        <family val="2"/>
        <scheme val="minor"/>
      </rPr>
      <t>200862 - R - USBfactory - VD</t>
    </r>
    <r>
      <rPr>
        <sz val="10"/>
        <color rgb="FF0070C0"/>
        <rFont val="Century Gothic"/>
        <family val="2"/>
        <scheme val="minor"/>
      </rPr>
      <t xml:space="preserve">
</t>
    </r>
  </si>
  <si>
    <t xml:space="preserve">200861 - L - Losinger - GE
200864 - L - Maulini - GE
200870 - L - Perrin - VD
FT 612 - L - Equipements Pro/Sükrü </t>
  </si>
  <si>
    <r>
      <t xml:space="preserve">200869 - R - Equipements Pro/Monti
</t>
    </r>
    <r>
      <rPr>
        <sz val="10"/>
        <color rgb="FF00B050"/>
        <rFont val="Century Gothic"/>
        <family val="2"/>
        <scheme val="minor"/>
      </rPr>
      <t>200859 - L - Marti - GE
200871 - L - Implenia - GE
200868 - L - Belloni - GE</t>
    </r>
    <r>
      <rPr>
        <sz val="10"/>
        <color rgb="FF0070C0"/>
        <rFont val="Century Gothic"/>
        <family val="2"/>
        <scheme val="minor"/>
      </rPr>
      <t xml:space="preserve">
200730 - R - SVPA
FT 591 - R - Piasio - GE
</t>
    </r>
  </si>
  <si>
    <r>
      <t xml:space="preserve">FT 561 - M1 - Ferra - VD
</t>
    </r>
    <r>
      <rPr>
        <sz val="10"/>
        <color rgb="FF00B050"/>
        <rFont val="Century Gothic"/>
        <family val="2"/>
        <scheme val="minor"/>
      </rPr>
      <t>200874 - L - Steiner - VD
200877 - L - Perrin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200791/200879 - R - Riedo - FR
200873 - R - Yokoi Tomoko
</t>
    </r>
    <r>
      <rPr>
        <sz val="10"/>
        <color rgb="FFFF0000"/>
        <rFont val="Century Gothic"/>
        <family val="2"/>
        <scheme val="minor"/>
      </rPr>
      <t>FT 596 - M1 - Erne - VD?</t>
    </r>
    <r>
      <rPr>
        <sz val="10"/>
        <color rgb="FF0070C0"/>
        <rFont val="Century Gothic"/>
        <family val="2"/>
        <scheme val="minor"/>
      </rPr>
      <t xml:space="preserve">
</t>
    </r>
  </si>
  <si>
    <r>
      <t xml:space="preserve">
</t>
    </r>
    <r>
      <rPr>
        <sz val="10"/>
        <color rgb="FF0070C0"/>
        <rFont val="Century Gothic"/>
        <family val="2"/>
        <scheme val="minor"/>
      </rPr>
      <t xml:space="preserve">200889 - R - Implenia </t>
    </r>
  </si>
  <si>
    <r>
      <t xml:space="preserve">200682 - R - Sola Didact
</t>
    </r>
    <r>
      <rPr>
        <sz val="10"/>
        <color rgb="FF00B050"/>
        <rFont val="Century Gothic"/>
        <family val="2"/>
        <scheme val="minor"/>
      </rPr>
      <t xml:space="preserve">200887 - L - Camandona - VD
</t>
    </r>
    <r>
      <rPr>
        <sz val="10"/>
        <color rgb="FF0070C0"/>
        <rFont val="Century Gothic"/>
        <family val="2"/>
        <scheme val="minor"/>
      </rPr>
      <t xml:space="preserve">200885 - R - Camandona - VD
</t>
    </r>
    <r>
      <rPr>
        <sz val="10"/>
        <color rgb="FFFF0000"/>
        <rFont val="Century Gothic"/>
        <family val="2"/>
        <scheme val="minor"/>
      </rPr>
      <t>FT 596 - M1 - Erne - VD?</t>
    </r>
    <r>
      <rPr>
        <sz val="10"/>
        <color rgb="FF0070C0"/>
        <rFont val="Century Gothic"/>
        <family val="2"/>
        <scheme val="minor"/>
      </rPr>
      <t xml:space="preserve">
200752 - R - Losinger - GE
200745 - R - Belloni - GE
</t>
    </r>
  </si>
  <si>
    <r>
      <t xml:space="preserve">200894 - R - Orllati - VD
</t>
    </r>
    <r>
      <rPr>
        <sz val="10"/>
        <color rgb="FFFFC000"/>
        <rFont val="Century Gothic"/>
        <family val="2"/>
        <scheme val="minor"/>
      </rPr>
      <t>200776 - S - Infra Tunnel - BE</t>
    </r>
    <r>
      <rPr>
        <sz val="10"/>
        <color rgb="FF0070C0"/>
        <rFont val="Century Gothic"/>
        <family val="2"/>
        <scheme val="minor"/>
      </rPr>
      <t xml:space="preserve">
200886 - R - Frutiger - BE
</t>
    </r>
    <r>
      <rPr>
        <sz val="10"/>
        <color rgb="FF00B050"/>
        <rFont val="Century Gothic"/>
        <family val="2"/>
        <scheme val="minor"/>
      </rPr>
      <t>200900 - L - Marti - VD</t>
    </r>
    <r>
      <rPr>
        <sz val="10"/>
        <color rgb="FF0070C0"/>
        <rFont val="Century Gothic"/>
        <family val="2"/>
        <scheme val="minor"/>
      </rPr>
      <t xml:space="preserve">
200897 - R - Implenia - VS
200912/200913/200914 - R - Marti </t>
    </r>
  </si>
  <si>
    <t>Lundi du Jeûne - congé</t>
  </si>
  <si>
    <r>
      <t xml:space="preserve">200673 - R - Frutiger - BE
FT 609 - R - bmyb - GE
200907 - R - Steiner - GE
</t>
    </r>
    <r>
      <rPr>
        <sz val="10"/>
        <color rgb="FFFF0000"/>
        <rFont val="Century Gothic"/>
        <family val="2"/>
        <scheme val="minor"/>
      </rPr>
      <t>FT616 - M1 - Caracas - VD</t>
    </r>
    <r>
      <rPr>
        <sz val="10"/>
        <color rgb="FF0070C0"/>
        <rFont val="Century Gothic"/>
        <family val="2"/>
        <scheme val="minor"/>
      </rPr>
      <t xml:space="preserve">
200898 - R - Perrin - VD
200902 - R - Ed. Perillat - GE
200673 - R - Frutiger - BE! ! Aviser!</t>
    </r>
  </si>
  <si>
    <r>
      <rPr>
        <sz val="10"/>
        <color theme="1"/>
        <rFont val="Century Gothic"/>
        <family val="2"/>
        <scheme val="minor"/>
      </rPr>
      <t xml:space="preserve">Récup. Palettes
</t>
    </r>
    <r>
      <rPr>
        <sz val="10"/>
        <color rgb="FF0070C0"/>
        <rFont val="Century Gothic"/>
        <family val="2"/>
        <scheme val="minor"/>
      </rPr>
      <t xml:space="preserve">200934 - R - Marti Constr. 
200936 - R - L. Membrez 200927 - R - Grisoni Zaugg - FR
200931 - R - Induni
200933 - R - Paul Vaucher - VD
200930 - R - Induni - GE 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</si>
  <si>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>Sandra absent</t>
    </r>
    <r>
      <rPr>
        <sz val="10"/>
        <color rgb="FFFF0000"/>
        <rFont val="Century Gothic"/>
        <family val="2"/>
        <scheme val="minor"/>
      </rPr>
      <t xml:space="preserve">
200830 - M2 - Kästli Bau - BE!
</t>
    </r>
    <r>
      <rPr>
        <sz val="10"/>
        <color rgb="FF0070C0"/>
        <rFont val="Century Gothic"/>
        <family val="2"/>
        <scheme val="minor"/>
      </rPr>
      <t>200932 - R - ACE</t>
    </r>
  </si>
  <si>
    <r>
      <t xml:space="preserve">
</t>
    </r>
    <r>
      <rPr>
        <sz val="10"/>
        <color theme="1"/>
        <rFont val="Century Gothic"/>
        <family val="2"/>
        <scheme val="minor"/>
      </rPr>
      <t>Arrivage Vestar 2371 ca 13h00 M2</t>
    </r>
    <r>
      <rPr>
        <sz val="10"/>
        <color rgb="FF0070C0"/>
        <rFont val="Century Gothic"/>
        <family val="2"/>
        <scheme val="minor"/>
      </rPr>
      <t xml:space="preserve">
200916 - R - Frutiger - BE
200816 - R - Knecht - BL
200922 - R - Belloni - GE</t>
    </r>
  </si>
  <si>
    <r>
      <rPr>
        <sz val="10"/>
        <color theme="1"/>
        <rFont val="Century Gothic"/>
        <family val="2"/>
        <scheme val="minor"/>
      </rPr>
      <t>Sandra absent</t>
    </r>
    <r>
      <rPr>
        <sz val="10"/>
        <color rgb="FF0070C0"/>
        <rFont val="Century Gothic"/>
        <family val="2"/>
        <scheme val="minor"/>
      </rPr>
      <t xml:space="preserve">
200669/200845 - R</t>
    </r>
    <r>
      <rPr>
        <sz val="10"/>
        <color rgb="FF00B050"/>
        <rFont val="Century Gothic"/>
        <family val="2"/>
        <scheme val="minor"/>
      </rPr>
      <t xml:space="preserve">/L </t>
    </r>
    <r>
      <rPr>
        <sz val="10"/>
        <color rgb="FF0070C0"/>
        <rFont val="Century Gothic"/>
        <family val="2"/>
        <scheme val="minor"/>
      </rPr>
      <t>- Frutiger - BE!
200915 - R - Baltensperger - ZH 
200941 - R - Marti 
200938 - R - Avesco Rent/Lonza - VS</t>
    </r>
    <r>
      <rPr>
        <sz val="10"/>
        <color rgb="FF00B050"/>
        <rFont val="Century Gothic"/>
        <family val="2"/>
        <scheme val="minor"/>
      </rPr>
      <t xml:space="preserve">
</t>
    </r>
  </si>
  <si>
    <r>
      <rPr>
        <sz val="10"/>
        <color theme="1"/>
        <rFont val="Century Gothic"/>
        <family val="2"/>
        <scheme val="minor"/>
      </rPr>
      <t>Sandra absent 13h00 - 23.09.2020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theme="1"/>
        <rFont val="Century Gothic"/>
        <family val="2"/>
        <scheme val="minor"/>
      </rPr>
      <t xml:space="preserve">Arrivage Nowy Styl
Arrivage Narbutas 2478/74/83/85/90/91/97
</t>
    </r>
    <r>
      <rPr>
        <sz val="10"/>
        <color rgb="FF0070C0"/>
        <rFont val="Century Gothic"/>
        <family val="2"/>
        <scheme val="minor"/>
      </rPr>
      <t xml:space="preserve">200928 - R - Frutiger - BE? Lits
</t>
    </r>
    <r>
      <rPr>
        <sz val="10"/>
        <color rgb="FF00B050"/>
        <rFont val="Century Gothic"/>
        <family val="2"/>
        <scheme val="minor"/>
      </rPr>
      <t xml:space="preserve">200949 - L - Orllati - VD
200910 - L - Sword  -VD
</t>
    </r>
    <r>
      <rPr>
        <sz val="10"/>
        <color rgb="FF0070C0"/>
        <rFont val="Century Gothic"/>
        <family val="2"/>
        <scheme val="minor"/>
      </rPr>
      <t xml:space="preserve">200909 - R - Colas - GE
</t>
    </r>
  </si>
  <si>
    <r>
      <rPr>
        <sz val="10"/>
        <rFont val="Century Gothic"/>
        <family val="2"/>
        <scheme val="minor"/>
      </rPr>
      <t>Sandra absent
7h00 Mercedes au garage Larag</t>
    </r>
    <r>
      <rPr>
        <b/>
        <sz val="10"/>
        <color rgb="FFFFC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200950 - R - Belloni - GE</t>
    </r>
    <r>
      <rPr>
        <sz val="10"/>
        <color rgb="FFFFC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200943 - R - Swiss Tech. Comp.-JU</t>
    </r>
    <r>
      <rPr>
        <sz val="10"/>
        <color rgb="FFFFC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200968  R - Equip.Pro/ATN - FR</t>
    </r>
    <r>
      <rPr>
        <sz val="10"/>
        <color rgb="FFFFC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200963  R - Grisoni Zaugg - FR</t>
    </r>
    <r>
      <rPr>
        <sz val="10"/>
        <color rgb="FFFFC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200961 - R - Energie Serv./CSL - BE
</t>
    </r>
    <r>
      <rPr>
        <sz val="10"/>
        <color rgb="FFFF0000"/>
        <rFont val="Century Gothic"/>
        <family val="2"/>
        <scheme val="minor"/>
      </rPr>
      <t xml:space="preserve">FT 605 - M1 - Burke - VD
</t>
    </r>
    <r>
      <rPr>
        <sz val="10"/>
        <color rgb="FF0070C0"/>
        <rFont val="Century Gothic"/>
        <family val="2"/>
        <scheme val="minor"/>
      </rPr>
      <t>200972 - R - Muga - BE</t>
    </r>
  </si>
  <si>
    <r>
      <rPr>
        <sz val="10"/>
        <rFont val="Century Gothic"/>
        <family val="2"/>
        <scheme val="minor"/>
      </rPr>
      <t>Sandra absent</t>
    </r>
    <r>
      <rPr>
        <sz val="10"/>
        <color rgb="FF0070C0"/>
        <rFont val="Century Gothic"/>
        <family val="2"/>
        <scheme val="minor"/>
      </rPr>
      <t xml:space="preserve">
200899 - R - Riedo/CSL Behring - BE!
200975 - R - Orllati - VD
200983 - R - ADV
200978 - R - Scrasa - GE
200979 - R - Laurent Membrez - VD
</t>
    </r>
  </si>
  <si>
    <r>
      <t xml:space="preserve">Sandra absent
</t>
    </r>
    <r>
      <rPr>
        <sz val="10"/>
        <color rgb="FF0070C0"/>
        <rFont val="Century Gothic"/>
        <family val="2"/>
        <scheme val="minor"/>
      </rPr>
      <t>200965 - R - Losinger - GE</t>
    </r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200955 - R - M. Dirren - VS1</t>
    </r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200973 - R - Camandona - VD</t>
    </r>
    <r>
      <rPr>
        <sz val="1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FT 625 - M1 - Simond - VD</t>
    </r>
  </si>
  <si>
    <r>
      <t xml:space="preserve">200917 - M2 - Losinger - VD
</t>
    </r>
    <r>
      <rPr>
        <sz val="10"/>
        <color rgb="FF0070C0"/>
        <rFont val="Century Gothic"/>
        <family val="2"/>
        <scheme val="minor"/>
      </rPr>
      <t>200948 - R - Cadic Yann</t>
    </r>
  </si>
  <si>
    <r>
      <t xml:space="preserve">Arrivage Mades 3 Container 2418/2445
</t>
    </r>
    <r>
      <rPr>
        <sz val="10"/>
        <color rgb="FF0070C0"/>
        <rFont val="Century Gothic"/>
        <family val="2"/>
        <scheme val="minor"/>
      </rPr>
      <t xml:space="preserve">200990 - R - Camandona </t>
    </r>
  </si>
  <si>
    <r>
      <rPr>
        <sz val="10"/>
        <rFont val="Century Gothic"/>
        <family val="2"/>
        <scheme val="minor"/>
      </rPr>
      <t>Arrivage camion  Mades 10h30</t>
    </r>
    <r>
      <rPr>
        <sz val="10"/>
        <color rgb="FF0070C0"/>
        <rFont val="Century Gothic"/>
        <family val="2"/>
        <scheme val="minor"/>
      </rPr>
      <t xml:space="preserve">
200906 - R - Antiglio - FR
FT525 - R - FC Bavois - VD</t>
    </r>
    <r>
      <rPr>
        <sz val="1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 xml:space="preserve">FT627 - M2 - Fit4school - VD
</t>
    </r>
    <r>
      <rPr>
        <sz val="10"/>
        <color rgb="FF0070C0"/>
        <rFont val="Century Gothic"/>
        <family val="2"/>
        <scheme val="minor"/>
      </rPr>
      <t xml:space="preserve">200986 - R - Marti Constr. - GE
200987 - R - Losinger Marazzi - GE
200995 - R - Marti - VD
</t>
    </r>
  </si>
  <si>
    <r>
      <t xml:space="preserve">201004 - L - Quic. Léman - VD
201002 - L - Braillard - VD
200991 - L - Avesco - FR
</t>
    </r>
    <r>
      <rPr>
        <sz val="10"/>
        <rFont val="Century Gothic"/>
        <family val="2"/>
        <scheme val="minor"/>
      </rPr>
      <t>Passer chez Landi Récupérer roue</t>
    </r>
    <r>
      <rPr>
        <sz val="10"/>
        <color rgb="FF00B050"/>
        <rFont val="Century Gothic"/>
        <family val="2"/>
        <scheme val="minor"/>
      </rPr>
      <t xml:space="preserve">
624 - 610 - L - Frutiger - BE
621 - L - Riedo - FR
</t>
    </r>
    <r>
      <rPr>
        <sz val="10"/>
        <color rgb="FF0070C0"/>
        <rFont val="Century Gothic"/>
        <family val="2"/>
        <scheme val="minor"/>
      </rPr>
      <t>200817 - R - Knecht</t>
    </r>
  </si>
  <si>
    <r>
      <rPr>
        <sz val="10"/>
        <color rgb="FF0070C0"/>
        <rFont val="Century Gothic"/>
        <family val="2"/>
        <scheme val="minor"/>
      </rPr>
      <t>200957 - R - Heitkamp - ZH
201015 - R - Knecht - BL</t>
    </r>
    <r>
      <rPr>
        <sz val="10"/>
        <color rgb="FFFFC000"/>
        <rFont val="Century Gothic"/>
        <family val="2"/>
        <scheme val="minor"/>
      </rPr>
      <t xml:space="preserve">
200977 - S - Fagsi - OW
</t>
    </r>
    <r>
      <rPr>
        <sz val="10"/>
        <color rgb="FFFF0000"/>
        <rFont val="Century Gothic"/>
        <family val="2"/>
        <scheme val="minor"/>
      </rPr>
      <t>627/200884 - M2 - Fit 4 School - VD</t>
    </r>
    <r>
      <rPr>
        <sz val="10"/>
        <color rgb="FFFFC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200939 - R - Mohamed Al Mayami - VD</t>
    </r>
    <r>
      <rPr>
        <sz val="10"/>
        <color rgb="FFFFC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201023 - R - Greuter - ZH
200962 - R - Rubixcomm - JU
200953 - R - Implenia - JU
200931 - R - Induni - GE
200958 - R - Salvadora Rodriguez VD</t>
    </r>
  </si>
  <si>
    <t>201028 - R - Frutiger - BE
201029 - R - Belloni - GE
201014 - R - RuaClean - VD</t>
  </si>
  <si>
    <r>
      <t xml:space="preserve">200944 - M2 - Losinger - VD! </t>
    </r>
    <r>
      <rPr>
        <b/>
        <sz val="10"/>
        <color rgb="FFFF0000"/>
        <rFont val="Century Gothic"/>
        <family val="2"/>
        <scheme val="minor"/>
      </rPr>
      <t>7h30!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200959 - L - Complex Bau - VD
</t>
    </r>
    <r>
      <rPr>
        <sz val="10"/>
        <color rgb="FF0070C0"/>
        <rFont val="Century Gothic"/>
        <family val="2"/>
        <scheme val="minor"/>
      </rPr>
      <t>201034 - R - Widmer - AG
201031/200032 - R - Frutiger - BE
201030 - R - château Novalles - VD
201033 - R - Induni - GE
200888 - R - Anliker - LU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FT632 - L - AC Immune - VD</t>
    </r>
  </si>
  <si>
    <r>
      <t xml:space="preserve">
</t>
    </r>
    <r>
      <rPr>
        <i/>
        <sz val="10"/>
        <color rgb="FFFFC000"/>
        <rFont val="Century Gothic"/>
        <family val="2"/>
        <scheme val="minor"/>
      </rPr>
      <t xml:space="preserve">200852 - S - Futiger - BL! </t>
    </r>
    <r>
      <rPr>
        <i/>
        <sz val="10"/>
        <color theme="1"/>
        <rFont val="Century Gothic"/>
        <family val="2"/>
        <scheme val="minor"/>
      </rPr>
      <t>Demande Sieber Sol. Livr. 08.10.2020
200857/200739/200799 S - Heitkamp - GL</t>
    </r>
    <r>
      <rPr>
        <sz val="10"/>
        <color rgb="FFFFC00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200749 - M2 - Simond - VD
200772 - M2 - ERNE - VD</t>
    </r>
    <r>
      <rPr>
        <sz val="10"/>
        <color rgb="FFFFC00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>Aller récupérer palettes COOP</t>
    </r>
  </si>
  <si>
    <r>
      <t xml:space="preserve">Bettina absent 28.09 - 02.10
</t>
    </r>
    <r>
      <rPr>
        <sz val="10"/>
        <color rgb="FFFF0000"/>
        <rFont val="Century Gothic"/>
        <family val="2"/>
        <scheme val="minor"/>
      </rPr>
      <t>200996 - M2 - CBRE - VD 08:00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200878/200895 - R - Riedo - FR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200994 - R - Pizzera-Poletti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200672 - R - Perret - GE
200896 - R - IBGS - VD
200940 - R - Baltensperger - ZH
200905 - R - Implenia - VS
200918 - R - Perillat - GE
200751 - R - GAP - VS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200992 - R -  Rampini - GE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201003 - R - Centre le Nid - VD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200999 - R - EDIFEA - VS
201006 - R - Avesco - VS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FFC000"/>
        <rFont val="Century Gothic"/>
        <family val="2"/>
        <scheme val="minor"/>
      </rPr>
      <t>200812 - S - DM Bau - BE?</t>
    </r>
  </si>
  <si>
    <r>
      <t xml:space="preserve">
</t>
    </r>
    <r>
      <rPr>
        <sz val="10"/>
        <color rgb="FF0070C0"/>
        <rFont val="Century Gothic"/>
        <family val="2"/>
        <scheme val="minor"/>
      </rPr>
      <t>201016 - R - Ed. Perillat - GE
Préparation liv/mont. 08./09.2020
201042 - R - Perrin - VD</t>
    </r>
    <r>
      <rPr>
        <sz val="10"/>
        <color rgb="FFFF0000"/>
        <rFont val="Century Gothic"/>
        <family val="2"/>
        <scheme val="minor"/>
      </rPr>
      <t xml:space="preserve">
</t>
    </r>
    <r>
      <rPr>
        <b/>
        <sz val="10"/>
        <color theme="1"/>
        <rFont val="Century Gothic"/>
        <family val="2"/>
        <scheme val="minor"/>
      </rPr>
      <t>Pneus mercedes 4x4 garage Etoiles Renens</t>
    </r>
    <r>
      <rPr>
        <sz val="10"/>
        <color rgb="FFFF0000"/>
        <rFont val="Century Gothic"/>
        <family val="2"/>
        <scheme val="minor"/>
      </rPr>
      <t xml:space="preserve">
</t>
    </r>
    <r>
      <rPr>
        <b/>
        <sz val="10"/>
        <rFont val="Century Gothic"/>
        <family val="2"/>
        <scheme val="minor"/>
      </rPr>
      <t>Amener Mercedes en fin de journée pour changement de pneus.</t>
    </r>
  </si>
  <si>
    <r>
      <t xml:space="preserve">
200852 - S - Futiger - BL!
</t>
    </r>
    <r>
      <rPr>
        <sz val="10"/>
        <color rgb="FFFF0000"/>
        <rFont val="Century Gothic"/>
        <family val="2"/>
        <scheme val="minor"/>
      </rPr>
      <t>200985 - M2 - Kibag - BE</t>
    </r>
    <r>
      <rPr>
        <sz val="10"/>
        <color rgb="FFFFC000"/>
        <rFont val="Century Gothic"/>
        <family val="2"/>
        <scheme val="minor"/>
      </rPr>
      <t xml:space="preserve">
</t>
    </r>
  </si>
  <si>
    <r>
      <t xml:space="preserve">201027 - M2 - Riedo - VD
</t>
    </r>
    <r>
      <rPr>
        <sz val="10"/>
        <color rgb="FF0070C0"/>
        <rFont val="Century Gothic"/>
        <family val="2"/>
        <scheme val="minor"/>
      </rPr>
      <t>200875 - R - Kästli - BE
200860 - R - Fagsi - LU
201043 - R - Aromwave - VD</t>
    </r>
    <r>
      <rPr>
        <sz val="10"/>
        <color rgb="FFFF0000"/>
        <rFont val="Century Gothic"/>
        <family val="2"/>
        <scheme val="minor"/>
      </rPr>
      <t xml:space="preserve">
</t>
    </r>
  </si>
  <si>
    <r>
      <rPr>
        <sz val="10"/>
        <color rgb="FF0070C0"/>
        <rFont val="Century Gothic"/>
        <family val="2"/>
        <scheme val="minor"/>
      </rPr>
      <t xml:space="preserve">201021 - R - FC Sion - VS
201068 - R - Perrin Frères - VD
201053 - R - Piasio - GE
201067 - R - J.Couto - GE
</t>
    </r>
    <r>
      <rPr>
        <sz val="10"/>
        <color rgb="FFFF0000"/>
        <rFont val="Century Gothic"/>
        <family val="2"/>
        <scheme val="minor"/>
      </rPr>
      <t>FT 625 - M1 - Simond - VD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201056 - L - Laurent Membrez - 
VD
</t>
    </r>
    <r>
      <rPr>
        <sz val="10"/>
        <color rgb="FF7030A0"/>
        <rFont val="Century Gothic"/>
        <family val="2"/>
        <scheme val="minor"/>
      </rPr>
      <t>201066 - F - Erne - VD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200880 - L - Dentagest - VD
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theme="1"/>
        <rFont val="Century Gothic"/>
        <family val="2"/>
        <scheme val="minor"/>
      </rPr>
      <t xml:space="preserve">
</t>
    </r>
  </si>
  <si>
    <r>
      <t xml:space="preserve">Remorque en garage à Morat!
</t>
    </r>
    <r>
      <rPr>
        <sz val="10"/>
        <color rgb="FF00B050"/>
        <rFont val="Century Gothic"/>
        <family val="2"/>
        <scheme val="minor"/>
      </rPr>
      <t xml:space="preserve">FT631 - L - Frutiger - BE
</t>
    </r>
    <r>
      <rPr>
        <sz val="10"/>
        <color rgb="FFFF0000"/>
        <rFont val="Century Gothic"/>
        <family val="2"/>
        <scheme val="minor"/>
      </rPr>
      <t xml:space="preserve">201022 - M1 - Frutiger - BE! 
</t>
    </r>
    <r>
      <rPr>
        <sz val="10"/>
        <color rgb="FF0070C0"/>
        <rFont val="Century Gothic"/>
        <family val="2"/>
        <scheme val="minor"/>
      </rPr>
      <t xml:space="preserve">FT 637(201062) - R - Greuter - ZH
201045 - R - Halter - GE
</t>
    </r>
    <r>
      <rPr>
        <b/>
        <sz val="10"/>
        <rFont val="Century Gothic"/>
        <family val="2"/>
        <scheme val="minor"/>
      </rPr>
      <t xml:space="preserve">
</t>
    </r>
  </si>
  <si>
    <r>
      <t xml:space="preserve">200805 - M2 - Viveo - VD?
201009 - M2 - Losinger - VD </t>
    </r>
    <r>
      <rPr>
        <b/>
        <sz val="10"/>
        <color rgb="FFFF0000"/>
        <rFont val="Century Gothic"/>
        <family val="2"/>
        <scheme val="minor"/>
      </rPr>
      <t>dès 10h00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201012 - R - Fagsi - BE
201016 - R - Perillat - GE en attente tableau
200829 - R - Estée Lauder - SZ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201037 - R - Colas - GE
201031/201032 - R - Frutiger - BE</t>
    </r>
  </si>
  <si>
    <r>
      <t xml:space="preserve">Remorque en garage à Morat!
</t>
    </r>
    <r>
      <rPr>
        <sz val="10"/>
        <color rgb="FFFF0000"/>
        <rFont val="Century Gothic"/>
        <family val="2"/>
        <scheme val="minor"/>
      </rPr>
      <t>FT636 - M1 - Frutiger/Implenia - BL!</t>
    </r>
    <r>
      <rPr>
        <b/>
        <sz val="1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201071 - L - Orllati - VD</t>
    </r>
    <r>
      <rPr>
        <b/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200982/201036 - R - Frutiger - BE
201076 - R - Mauca</t>
    </r>
    <r>
      <rPr>
        <b/>
        <sz val="1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</si>
  <si>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>Arrivage Camion BS</t>
    </r>
    <r>
      <rPr>
        <sz val="10"/>
        <color rgb="FF00B050"/>
        <rFont val="Century Gothic"/>
        <family val="2"/>
        <scheme val="minor"/>
      </rPr>
      <t xml:space="preserve">
201074 - L - Implenia - VS
200960 - L - Ambulance Clerc - VS
</t>
    </r>
    <r>
      <rPr>
        <sz val="10"/>
        <color rgb="FF0070C0"/>
        <rFont val="Century Gothic"/>
        <family val="2"/>
        <scheme val="minor"/>
      </rPr>
      <t>201079 - R - Scrasa - GE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200967 - R - V.Heyberger - VD
201075 - R - Frutiger/Implenia - BL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201072 - R - A+M Miauton - FR</t>
    </r>
    <r>
      <rPr>
        <sz val="10"/>
        <color rgb="FFFF0000"/>
        <rFont val="Century Gothic"/>
        <family val="2"/>
        <scheme val="minor"/>
      </rPr>
      <t xml:space="preserve">
201057 - M2 - Avesco Rent - VS!</t>
    </r>
    <r>
      <rPr>
        <i/>
        <sz val="10"/>
        <color rgb="FFFFC000"/>
        <rFont val="Century Gothic"/>
        <family val="2"/>
        <scheme val="minor"/>
      </rPr>
      <t xml:space="preserve">
200834 - S - WL Bau - VS </t>
    </r>
    <r>
      <rPr>
        <i/>
        <sz val="10"/>
        <color theme="1" tint="0.249977111117893"/>
        <rFont val="Century Gothic"/>
        <family val="2"/>
        <scheme val="minor"/>
      </rPr>
      <t xml:space="preserve">Livraison 28.10 - 2x semie-remorque?
</t>
    </r>
  </si>
  <si>
    <r>
      <t xml:space="preserve">Déménagement dépôt - M2
Camion au dépôt 9h00
</t>
    </r>
    <r>
      <rPr>
        <sz val="10"/>
        <color rgb="FF0070C0"/>
        <rFont val="Century Gothic"/>
        <family val="2"/>
        <scheme val="minor"/>
      </rPr>
      <t>201026</t>
    </r>
    <r>
      <rPr>
        <sz val="10"/>
        <color rgb="FFFFC000"/>
        <rFont val="Century Gothic"/>
        <family val="2"/>
        <scheme val="minor"/>
      </rPr>
      <t>/200738 - S - Heitkamp - GL</t>
    </r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201051 - R - Tille </t>
    </r>
  </si>
  <si>
    <r>
      <t xml:space="preserve">
</t>
    </r>
    <r>
      <rPr>
        <sz val="10"/>
        <rFont val="Century Gothic"/>
        <family val="2"/>
        <scheme val="minor"/>
      </rPr>
      <t xml:space="preserve">7h30 - A3 au garage - pneu
</t>
    </r>
    <r>
      <rPr>
        <sz val="10"/>
        <color rgb="FF00B050"/>
        <rFont val="Century Gothic"/>
        <family val="2"/>
        <scheme val="minor"/>
      </rPr>
      <t>201078 - L - Marti - VD</t>
    </r>
    <r>
      <rPr>
        <sz val="10"/>
        <color rgb="FFFFC000"/>
        <rFont val="Century Gothic"/>
        <family val="2"/>
        <scheme val="minor"/>
      </rPr>
      <t xml:space="preserve">
201070 - S - Lead Constr. - GE 
</t>
    </r>
    <r>
      <rPr>
        <sz val="10"/>
        <color rgb="FFFF0000"/>
        <rFont val="Century Gothic"/>
        <family val="2"/>
        <scheme val="minor"/>
      </rPr>
      <t xml:space="preserve">201013 - 200636 - M2 - CBRE - VD 13.00!!! - récuperer table FT 599
</t>
    </r>
  </si>
  <si>
    <r>
      <t xml:space="preserve">201011 - S - Fagsi - BL
</t>
    </r>
    <r>
      <rPr>
        <sz val="10"/>
        <color rgb="FF0070C0"/>
        <rFont val="Century Gothic"/>
        <family val="2"/>
        <scheme val="minor"/>
      </rPr>
      <t>201096 - R - F. Klur - GE</t>
    </r>
    <r>
      <rPr>
        <sz val="10"/>
        <color rgb="FFFF0000"/>
        <rFont val="Century Gothic"/>
        <family val="2"/>
        <scheme val="minor"/>
      </rPr>
      <t xml:space="preserve">
201077 - M1 - Losinger - VD</t>
    </r>
    <r>
      <rPr>
        <i/>
        <sz val="10"/>
        <color rgb="FFFFC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201089 - L - Nasca - VD</t>
    </r>
    <r>
      <rPr>
        <i/>
        <sz val="10"/>
        <color rgb="FFFFC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201084 - L - Equip. Pro/Friderici - VD
</t>
    </r>
    <r>
      <rPr>
        <sz val="10"/>
        <color theme="1"/>
        <rFont val="Century Gothic"/>
        <family val="2"/>
        <scheme val="minor"/>
      </rPr>
      <t>Pneus mercedes 4x4 garage Etoiles Renens</t>
    </r>
    <r>
      <rPr>
        <sz val="10"/>
        <color rgb="FF00B050"/>
        <rFont val="Century Gothic"/>
        <family val="2"/>
        <scheme val="minor"/>
      </rPr>
      <t xml:space="preserve">
</t>
    </r>
  </si>
  <si>
    <r>
      <t xml:space="preserve">200764 - M2 - Marks Container - VS!
</t>
    </r>
    <r>
      <rPr>
        <sz val="10"/>
        <color rgb="FF0070C0"/>
        <rFont val="Century Gothic"/>
        <family val="2"/>
        <scheme val="minor"/>
      </rPr>
      <t>201108 - R - ORSW</t>
    </r>
  </si>
  <si>
    <r>
      <t xml:space="preserve">201011 - S - Fagsi - BL! semie-remorque
</t>
    </r>
    <r>
      <rPr>
        <sz val="10"/>
        <color rgb="FF0070C0"/>
        <rFont val="Century Gothic"/>
        <family val="2"/>
        <scheme val="minor"/>
      </rPr>
      <t xml:space="preserve">200764 - R - Marks Container - VS! Livraison partielle 
201097 - R - Soreval - GE
201060/201105 - R - Avesco - BE
</t>
    </r>
    <r>
      <rPr>
        <sz val="10"/>
        <color rgb="FF00B050"/>
        <rFont val="Century Gothic"/>
        <family val="2"/>
        <scheme val="minor"/>
      </rPr>
      <t>201101 - L - Orllati - VD
201102 - L - Marti - VD
201103 - L - Marti - VD
201104 - L - Marti - VD</t>
    </r>
  </si>
  <si>
    <r>
      <rPr>
        <i/>
        <sz val="10"/>
        <color rgb="FFFFC000"/>
        <rFont val="Century Gothic"/>
        <family val="2"/>
        <scheme val="minor"/>
      </rPr>
      <t xml:space="preserve">Montage 
200748 - S - Containex - ZH? 
201001 - S - WL Bau - VS Zermatt 
</t>
    </r>
    <r>
      <rPr>
        <sz val="10"/>
        <color rgb="FFFF0000"/>
        <rFont val="Century Gothic"/>
        <family val="2"/>
        <scheme val="minor"/>
      </rPr>
      <t xml:space="preserve">200465 - M4 - Cerrutti - GE!
</t>
    </r>
    <r>
      <rPr>
        <sz val="10"/>
        <color rgb="FF0070C0"/>
        <rFont val="Century Gothic"/>
        <family val="2"/>
        <scheme val="minor"/>
      </rPr>
      <t>200974 - R - Ropraz - FR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201088/201112 - R - Implenia
201095/201098/FT623 - R - Frutiger - BE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</si>
  <si>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200834 - M6 - WL Bau - VS </t>
    </r>
    <r>
      <rPr>
        <b/>
        <sz val="10"/>
        <color rgb="FFFF0000"/>
        <rFont val="Century Gothic"/>
        <family val="2"/>
        <scheme val="minor"/>
      </rPr>
      <t>8h30!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201132 - L - Implenia - VS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201107 - R - Induni - GE</t>
    </r>
  </si>
  <si>
    <r>
      <t xml:space="preserve">200834 - M2 - WL Bau - VS 
201058 - M2 - Avesco Rent - VS
FT596 - M1 - Erne - VD!
200805 - M2 - Viveo Group - VD!
201086  - M1 - Metabader - VD! 0,5h
200408 - M2 - Ledixa - VD!  
</t>
    </r>
    <r>
      <rPr>
        <sz val="10"/>
        <color rgb="FF00B050"/>
        <rFont val="Century Gothic"/>
        <family val="2"/>
        <scheme val="minor"/>
      </rPr>
      <t xml:space="preserve">201140 - L - HRS - VD
</t>
    </r>
    <r>
      <rPr>
        <sz val="10"/>
        <color rgb="FF0070C0"/>
        <rFont val="Century Gothic"/>
        <family val="2"/>
        <scheme val="minor"/>
      </rPr>
      <t xml:space="preserve">201145 - R - Marti Construction
201143 - R - Orllati
201093 - R - Fagsi - BL 
</t>
    </r>
    <r>
      <rPr>
        <sz val="10"/>
        <rFont val="Century Gothic"/>
        <family val="2"/>
        <scheme val="minor"/>
      </rPr>
      <t>chercher palettes à Aclens</t>
    </r>
  </si>
  <si>
    <r>
      <t xml:space="preserve">
</t>
    </r>
    <r>
      <rPr>
        <sz val="10"/>
        <color rgb="FF0070C0"/>
        <rFont val="Century Gothic"/>
        <family val="2"/>
        <scheme val="minor"/>
      </rPr>
      <t>201007 - R - Riedo - BE
200989 - R - M.P.Welding - FR
201138 - R - Perret - GE</t>
    </r>
    <r>
      <rPr>
        <sz val="10"/>
        <color rgb="FFFF0000"/>
        <rFont val="Century Gothic"/>
        <family val="2"/>
        <scheme val="minor"/>
      </rPr>
      <t xml:space="preserve">
200840/200951 - M2 - Complex Bau - VD! 3-4h
</t>
    </r>
    <r>
      <rPr>
        <sz val="10"/>
        <color theme="1"/>
        <rFont val="Century Gothic"/>
        <family val="2"/>
        <scheme val="minor"/>
      </rPr>
      <t>Déchetterie 
Jumbo - Achat vises/parachutes et mèche cloche
Chaises Karen et Clara pour dépôt Cervin</t>
    </r>
  </si>
  <si>
    <r>
      <rPr>
        <sz val="10"/>
        <color rgb="FF0070C0"/>
        <rFont val="Century Gothic"/>
        <family val="2"/>
        <scheme val="minor"/>
      </rPr>
      <t xml:space="preserve">201131 - R - Avesco Rent - BE </t>
    </r>
    <r>
      <rPr>
        <sz val="10"/>
        <rFont val="Century Gothic"/>
        <family val="2"/>
        <scheme val="minor"/>
      </rPr>
      <t xml:space="preserve">Extra pour chargement 10h00
</t>
    </r>
    <r>
      <rPr>
        <sz val="10"/>
        <color rgb="FFFF0000"/>
        <rFont val="Century Gothic"/>
        <family val="2"/>
        <scheme val="minor"/>
      </rPr>
      <t xml:space="preserve">201133 - M3 - Riedo - BE
201106 - M2 - HRS - VD!
</t>
    </r>
    <r>
      <rPr>
        <sz val="10"/>
        <color rgb="FF0070C0"/>
        <rFont val="Century Gothic"/>
        <family val="2"/>
        <scheme val="minor"/>
      </rPr>
      <t>201139 - R - Semo Coaching - FR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201039 - R - Riedo/CSL - BE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201149- R - Frutiger/Implenia - BL</t>
    </r>
  </si>
  <si>
    <r>
      <rPr>
        <sz val="10"/>
        <color rgb="FFFF0000"/>
        <rFont val="Century Gothic"/>
        <family val="2"/>
        <scheme val="minor"/>
      </rPr>
      <t>201100 - M1 - Trisax - GE!</t>
    </r>
    <r>
      <rPr>
        <sz val="10"/>
        <color rgb="FF0070C0"/>
        <rFont val="Century Gothic"/>
        <family val="2"/>
        <scheme val="minor"/>
      </rPr>
      <t xml:space="preserve">
</t>
    </r>
    <r>
      <rPr>
        <i/>
        <sz val="10"/>
        <color rgb="FFFFC000"/>
        <rFont val="Century Gothic"/>
        <family val="2"/>
        <scheme val="minor"/>
      </rPr>
      <t>201001 - S - WL Bau -</t>
    </r>
    <r>
      <rPr>
        <sz val="10"/>
        <color rgb="FFFFC000"/>
        <rFont val="Century Gothic"/>
        <family val="2"/>
        <scheme val="minor"/>
      </rPr>
      <t xml:space="preserve"> </t>
    </r>
    <r>
      <rPr>
        <sz val="10"/>
        <rFont val="Century Gothic"/>
        <family val="2"/>
        <scheme val="minor"/>
      </rPr>
      <t xml:space="preserve">Récup marchandise après-midi
</t>
    </r>
    <r>
      <rPr>
        <sz val="10"/>
        <color rgb="FF00B050"/>
        <rFont val="Century Gothic"/>
        <family val="2"/>
        <scheme val="minor"/>
      </rPr>
      <t xml:space="preserve">201069 - L - Perrin - VD
201137 - L - Losinger - GE
</t>
    </r>
    <r>
      <rPr>
        <sz val="10"/>
        <color rgb="FF0070C0"/>
        <rFont val="Century Gothic"/>
        <family val="2"/>
        <scheme val="minor"/>
      </rPr>
      <t xml:space="preserve">201111 - R - Braillard - VD
201156 - R - Induni
201157 - R - Frutiger - BE
</t>
    </r>
    <r>
      <rPr>
        <sz val="10"/>
        <color rgb="FF00B050"/>
        <rFont val="Century Gothic"/>
        <family val="2"/>
        <scheme val="minor"/>
      </rPr>
      <t>201148 - L - Braillard/Walo Berschinger - VD
201111 - L - Braillard/ADV Const. - VD
201141 - L - Centre Bien-être Rubis - VD</t>
    </r>
    <r>
      <rPr>
        <sz val="10"/>
        <color rgb="FF0070C0"/>
        <rFont val="Century Gothic"/>
        <family val="2"/>
        <scheme val="minor"/>
      </rPr>
      <t xml:space="preserve">
</t>
    </r>
  </si>
  <si>
    <r>
      <t xml:space="preserve">201001  S - WL-Bau - VS
</t>
    </r>
    <r>
      <rPr>
        <sz val="10"/>
        <color rgb="FF0070C0"/>
        <rFont val="Century Gothic"/>
        <family val="2"/>
        <scheme val="minor"/>
      </rPr>
      <t xml:space="preserve">201161 - R - EMS Château Nov. - VD
201127 - R - A. Borer - BL
201109 - R - Equipement Pro - FR
201171 - R - Dénériaz
201168 - R - Grisoni Zaugg - FR
201160 - Equipement Pro/Etter - FR
</t>
    </r>
    <r>
      <rPr>
        <sz val="10"/>
        <color rgb="FFFF0000"/>
        <rFont val="Century Gothic"/>
        <family val="2"/>
        <scheme val="minor"/>
      </rPr>
      <t xml:space="preserve">201099 - M1 - CBRE - VD
201087 - M1 - Boxplay - VD
200976 - M1 - Complexbau - VD
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 xml:space="preserve">
</t>
    </r>
  </si>
  <si>
    <r>
      <t xml:space="preserve">FT 644 - M2 - Déménager bureau M. </t>
    </r>
    <r>
      <rPr>
        <sz val="10"/>
        <color rgb="FF0070C0"/>
        <rFont val="Century Gothic"/>
        <family val="2"/>
        <scheme val="minor"/>
      </rPr>
      <t>201186 - R - Ropraz - FR</t>
    </r>
  </si>
  <si>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201178 - R - Metraux Transport - VD
201180 - R - Colas - GE
201163/201167/201181 - R - Avesco Rent - BE
201185 - R - Marti - VD
201155 - R - Frutiger - BS</t>
    </r>
    <r>
      <rPr>
        <sz val="10"/>
        <color rgb="FFFF0000"/>
        <rFont val="Century Gothic"/>
        <family val="2"/>
        <scheme val="minor"/>
      </rPr>
      <t xml:space="preserve">
201146 - M2 - Riedo - BE! Victor
FT642 - M1 - Riedo/Ruprecht - BE
</t>
    </r>
    <r>
      <rPr>
        <sz val="10"/>
        <color rgb="FF00B050"/>
        <rFont val="Century Gothic"/>
        <family val="2"/>
        <scheme val="minor"/>
      </rPr>
      <t>201169 - L/</t>
    </r>
    <r>
      <rPr>
        <sz val="10"/>
        <color rgb="FFFF0000"/>
        <rFont val="Century Gothic"/>
        <family val="2"/>
        <scheme val="minor"/>
      </rPr>
      <t>M2</t>
    </r>
    <r>
      <rPr>
        <sz val="10"/>
        <color rgb="FF00B050"/>
        <rFont val="Century Gothic"/>
        <family val="2"/>
        <scheme val="minor"/>
      </rPr>
      <t xml:space="preserve"> - Equipement Pro - FR</t>
    </r>
    <r>
      <rPr>
        <sz val="10"/>
        <color rgb="FFFF0000"/>
        <rFont val="Century Gothic"/>
        <family val="2"/>
        <scheme val="minor"/>
      </rPr>
      <t xml:space="preserve">
</t>
    </r>
    <r>
      <rPr>
        <b/>
        <sz val="10"/>
        <rFont val="Century Gothic"/>
        <family val="2"/>
        <scheme val="minor"/>
      </rPr>
      <t>Bilel absent dès 13h00</t>
    </r>
  </si>
  <si>
    <r>
      <t xml:space="preserve">Chercher palettes 
Déchetterie
</t>
    </r>
    <r>
      <rPr>
        <sz val="10"/>
        <color rgb="FF0070C0"/>
        <rFont val="Century Gothic"/>
        <family val="2"/>
        <scheme val="minor"/>
      </rPr>
      <t>201110 - R - S-Fid - VD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201164 - R - M. Corboz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201170 - R - A+M Miauton - FR
201008 - R - F. Imark - NE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201153 - M1 - Ledixa - VD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201152 - L - Ed. Perillat - GE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201172/201069/201159 - L - Perrin - VD
201173 - L - Orllati - VD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201176/201175 - R - Marti Construction
</t>
    </r>
    <r>
      <rPr>
        <sz val="10"/>
        <color theme="1"/>
        <rFont val="Century Gothic"/>
        <family val="2"/>
        <scheme val="minor"/>
      </rPr>
      <t xml:space="preserve">
</t>
    </r>
  </si>
  <si>
    <r>
      <t xml:space="preserve">201135 - M2 - Losinger -  BE/GE -  Démenagement! 
</t>
    </r>
    <r>
      <rPr>
        <sz val="10"/>
        <color rgb="FF0070C0"/>
        <rFont val="Century Gothic"/>
        <family val="2"/>
        <scheme val="minor"/>
      </rPr>
      <t>201216 - R - Podvin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201209 - R - Markus Schiess</t>
    </r>
  </si>
  <si>
    <r>
      <t xml:space="preserve">
</t>
    </r>
    <r>
      <rPr>
        <sz val="10"/>
        <color rgb="FFFF0000"/>
        <rFont val="Century Gothic"/>
        <family val="2"/>
        <scheme val="minor"/>
      </rPr>
      <t xml:space="preserve">201041 - M1 - Erne - VD! Matin
</t>
    </r>
    <r>
      <rPr>
        <sz val="10"/>
        <color rgb="FF0070C0"/>
        <rFont val="Century Gothic"/>
        <family val="2"/>
        <scheme val="minor"/>
      </rPr>
      <t xml:space="preserve">201188 - R - M . Sulter 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201179  R - Riedo - BE</t>
    </r>
    <r>
      <rPr>
        <sz val="10"/>
        <color theme="1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201190 - L - Marti - GE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201189 - L Implenia - GE</t>
    </r>
  </si>
  <si>
    <r>
      <t xml:space="preserve">201081 - M1 - Losinger - VD
</t>
    </r>
    <r>
      <rPr>
        <sz val="10"/>
        <color rgb="FF0070C0"/>
        <rFont val="Century Gothic"/>
        <family val="2"/>
        <scheme val="minor"/>
      </rPr>
      <t>201156/201221 - R - Induni - GE</t>
    </r>
    <r>
      <rPr>
        <sz val="10"/>
        <color rgb="FFFF0000"/>
        <rFont val="Century Gothic"/>
        <family val="2"/>
        <scheme val="minor"/>
      </rPr>
      <t xml:space="preserve">
201154/201220 - M2 - Induni - VD
</t>
    </r>
    <r>
      <rPr>
        <sz val="10"/>
        <color rgb="FF0070C0"/>
        <rFont val="Century Gothic"/>
        <family val="2"/>
        <scheme val="minor"/>
      </rPr>
      <t xml:space="preserve">201063/201082 - R - Aromwave </t>
    </r>
  </si>
  <si>
    <r>
      <rPr>
        <sz val="10"/>
        <color rgb="FFFF0000"/>
        <rFont val="Century Gothic"/>
        <family val="2"/>
        <scheme val="minor"/>
      </rPr>
      <t xml:space="preserve">200911 - M2 - Riedo/Bucher - BE!
</t>
    </r>
    <r>
      <rPr>
        <sz val="10"/>
        <color rgb="FF00B050"/>
        <rFont val="Century Gothic"/>
        <family val="2"/>
        <scheme val="minor"/>
      </rPr>
      <t>201019 - L - Riedo - FR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200834 - R - WL Bau - VS Vétroz
201061 - R - Avesco Rent - BE
201130 - R - HRS - JU
201019 - R - Riedo - FR
201117 - R - Tille 
201114 - R - Cons. Milan/Grisoni - VD
201116 - R - Maulini - GE</t>
    </r>
    <r>
      <rPr>
        <sz val="10"/>
        <color rgb="FFFFC000"/>
        <rFont val="Century Gothic"/>
        <family val="2"/>
        <scheme val="minor"/>
      </rPr>
      <t xml:space="preserve">
200748 - S - Containex - ZH? </t>
    </r>
  </si>
  <si>
    <r>
      <rPr>
        <sz val="10"/>
        <rFont val="Century Gothic"/>
        <family val="2"/>
        <scheme val="minor"/>
      </rPr>
      <t>Arrivage Mades - 2 containers 8h00 et13h00</t>
    </r>
    <r>
      <rPr>
        <i/>
        <sz val="10"/>
        <color rgb="FFFFC000"/>
        <rFont val="Century Gothic"/>
        <family val="2"/>
        <scheme val="minor"/>
      </rPr>
      <t xml:space="preserve">
201154 - S - Induni - VD</t>
    </r>
    <r>
      <rPr>
        <i/>
        <sz val="10"/>
        <rFont val="Century Gothic"/>
        <family val="2"/>
        <scheme val="minor"/>
      </rPr>
      <t xml:space="preserve"> </t>
    </r>
    <r>
      <rPr>
        <sz val="10"/>
        <rFont val="Century Gothic"/>
        <family val="2"/>
        <scheme val="minor"/>
      </rPr>
      <t>Préparer marchandise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201000 - R - Braillards Fers - VD
201197 - R - PraderLosinger - VS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201193 - L - Orllati - 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201204 - R - Marti Construction
201208 - R - Dénériaz
</t>
    </r>
  </si>
  <si>
    <r>
      <rPr>
        <sz val="10"/>
        <rFont val="Century Gothic"/>
        <family val="2"/>
        <scheme val="minor"/>
      </rPr>
      <t>Arrivage Mades - 2 containers 8h00 et13h00</t>
    </r>
    <r>
      <rPr>
        <i/>
        <sz val="10"/>
        <color rgb="FFFFC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201115 - R - Equipement Pro - FR</t>
    </r>
    <r>
      <rPr>
        <i/>
        <sz val="10"/>
        <color rgb="FFFFC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200908 - R - Strabag - GL</t>
    </r>
    <r>
      <rPr>
        <i/>
        <sz val="10"/>
        <color rgb="FFFFC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201083 - R - Colas - GE</t>
    </r>
    <r>
      <rPr>
        <i/>
        <sz val="10"/>
        <color rgb="FFFFC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201174 - R - Riedo - FR</t>
    </r>
    <r>
      <rPr>
        <i/>
        <sz val="10"/>
        <color rgb="FFFFC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201194 - R - Mino</t>
    </r>
    <r>
      <rPr>
        <i/>
        <sz val="10"/>
        <color rgb="FFFFC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201223 - R - Audio Technology </t>
    </r>
  </si>
  <si>
    <r>
      <t xml:space="preserve"> 
</t>
    </r>
    <r>
      <rPr>
        <b/>
        <sz val="10"/>
        <rFont val="Century Gothic"/>
        <family val="2"/>
        <scheme val="minor"/>
      </rPr>
      <t>Arrivage Container Mades 13h00</t>
    </r>
    <r>
      <rPr>
        <sz val="10"/>
        <rFont val="Century Gothic"/>
        <family val="2"/>
        <scheme val="minor"/>
      </rPr>
      <t xml:space="preserve">
Chercher film étirable -Model Pack Shop Romanel
</t>
    </r>
    <r>
      <rPr>
        <sz val="10"/>
        <color rgb="FF0070C0"/>
        <rFont val="Century Gothic"/>
        <family val="2"/>
        <scheme val="minor"/>
      </rPr>
      <t>201091 - R - P. Newzella - BE</t>
    </r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201085 - R - Equipements Pro - VD
201199 - R - Orllati - VD 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201050 - R - Pizzera-Poletti - VD 
201229 - R - PB Pain et Brioche - VD
201236 - R - Containex - VD Küchen
201201 - R - Piasio - GE
201243 - R - Daniel Rouiller - VD</t>
    </r>
  </si>
  <si>
    <r>
      <t xml:space="preserve">
</t>
    </r>
    <r>
      <rPr>
        <sz val="10"/>
        <color rgb="FFFF0000"/>
        <rFont val="Century Gothic"/>
        <family val="2"/>
        <scheme val="minor"/>
      </rPr>
      <t xml:space="preserve">201035 - M2 - Implenia - GE!
2012020 - M2 - HRS - VD 
</t>
    </r>
    <r>
      <rPr>
        <sz val="10"/>
        <color rgb="FF0070C0"/>
        <rFont val="Century Gothic"/>
        <family val="2"/>
        <scheme val="minor"/>
      </rPr>
      <t xml:space="preserve">201187/200988/FT646 - R - Losinger - GE </t>
    </r>
    <r>
      <rPr>
        <sz val="10"/>
        <rFont val="Century Gothic"/>
        <family val="2"/>
        <scheme val="minor"/>
      </rPr>
      <t>(Sieber a livré 1 jour trop tard)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FFC000"/>
        <rFont val="Century Gothic"/>
        <family val="2"/>
        <scheme val="minor"/>
      </rPr>
      <t xml:space="preserve">
</t>
    </r>
  </si>
  <si>
    <r>
      <t xml:space="preserve">
</t>
    </r>
    <r>
      <rPr>
        <sz val="10"/>
        <color rgb="FF00B050"/>
        <rFont val="Century Gothic"/>
        <family val="2"/>
        <scheme val="minor"/>
      </rPr>
      <t>201235 - L - Frutiger - BE!</t>
    </r>
    <r>
      <rPr>
        <sz val="1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FT647 - L - Rentas - VD</t>
    </r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201245 - R - Riedo/CSL Behring - BE</t>
    </r>
    <r>
      <rPr>
        <sz val="10"/>
        <rFont val="Century Gothic"/>
        <family val="2"/>
        <scheme val="minor"/>
      </rPr>
      <t xml:space="preserve">
</t>
    </r>
    <r>
      <rPr>
        <i/>
        <sz val="10"/>
        <color rgb="FFFFC000"/>
        <rFont val="Century Gothic"/>
        <family val="2"/>
        <scheme val="minor"/>
      </rPr>
      <t>201124 - S - WL Bau - VS</t>
    </r>
    <r>
      <rPr>
        <sz val="10"/>
        <rFont val="Century Gothic"/>
        <family val="2"/>
        <scheme val="minor"/>
      </rPr>
      <t xml:space="preserve">
</t>
    </r>
  </si>
  <si>
    <r>
      <t xml:space="preserve">201207 - M2 - Küng et Associés - VD!
</t>
    </r>
    <r>
      <rPr>
        <sz val="10"/>
        <rFont val="Century Gothic"/>
        <family val="2"/>
        <scheme val="minor"/>
      </rPr>
      <t>Préparation - 200813 - Containex</t>
    </r>
    <r>
      <rPr>
        <sz val="10"/>
        <color rgb="FFFF0000"/>
        <rFont val="Century Gothic"/>
        <family val="2"/>
        <scheme val="minor"/>
      </rPr>
      <t xml:space="preserve">
</t>
    </r>
    <r>
      <rPr>
        <b/>
        <sz val="10"/>
        <rFont val="Century Gothic"/>
        <family val="2"/>
        <scheme val="minor"/>
      </rPr>
      <t xml:space="preserve">15h00 </t>
    </r>
    <r>
      <rPr>
        <sz val="10"/>
        <rFont val="Century Gothic"/>
        <family val="2"/>
        <scheme val="minor"/>
      </rPr>
      <t>- Chargement Camion - M2 - 200813 - Containex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201129 - R - Gétaz - VS! L 25.11.20</t>
    </r>
  </si>
  <si>
    <r>
      <t xml:space="preserve">Vider couloir !!!
</t>
    </r>
    <r>
      <rPr>
        <b/>
        <sz val="10"/>
        <color theme="1" tint="0.249977111117893"/>
        <rFont val="Century Gothic"/>
        <family val="2"/>
        <scheme val="minor"/>
      </rPr>
      <t xml:space="preserve">Bilel et Victor ici toute la journée!
</t>
    </r>
    <r>
      <rPr>
        <sz val="10"/>
        <color rgb="FF0070C0"/>
        <rFont val="Century Gothic"/>
        <family val="2"/>
        <scheme val="minor"/>
      </rPr>
      <t>200929 - R - Grisoni Zaug - FR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201144 - R - M.P. Welding - FR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201228 - R - E. Lauder - SZ</t>
    </r>
    <r>
      <rPr>
        <sz val="10"/>
        <color theme="1" tint="0.249977111117893"/>
        <rFont val="Century Gothic"/>
        <family val="2"/>
        <scheme val="minor"/>
      </rPr>
      <t xml:space="preserve"> 
</t>
    </r>
    <r>
      <rPr>
        <sz val="10"/>
        <color rgb="FF0070C0"/>
        <rFont val="Century Gothic"/>
        <family val="2"/>
        <scheme val="minor"/>
      </rPr>
      <t>201150 - R - Knecht - BL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201218 - R - WL Bau - BL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201231 - R - Fagsi - LU
201113 - R - Dieci
201094 - R - Tille?
201225/201158/201217 - R - Frutiger - BE
201205 - R - Hamzu Braiki - VD
</t>
    </r>
    <r>
      <rPr>
        <sz val="10"/>
        <color rgb="FF00B050"/>
        <rFont val="Century Gothic"/>
        <family val="2"/>
        <scheme val="minor"/>
      </rPr>
      <t>FT647 - L - Rentas - VD</t>
    </r>
  </si>
  <si>
    <r>
      <t xml:space="preserve">200813 - M6 - Containex - VD (Vevey) Volumineux!!!
</t>
    </r>
    <r>
      <rPr>
        <sz val="10"/>
        <color rgb="FF0070C0"/>
        <rFont val="Century Gothic"/>
        <family val="2"/>
        <scheme val="minor"/>
      </rPr>
      <t>201129 - R - Gétaz - VS!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201249 - R - Ropraz - FR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201253 - R - Equipement Pro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201226 - R - Frutiger - BE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201254 - R - Colas - GE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201233 - R - Dénériaz</t>
    </r>
  </si>
  <si>
    <r>
      <t xml:space="preserve">
</t>
    </r>
    <r>
      <rPr>
        <sz val="10"/>
        <color rgb="FFFF0000"/>
        <rFont val="Century Gothic"/>
        <family val="2"/>
        <scheme val="minor"/>
      </rPr>
      <t xml:space="preserve">200813 - M6 - Containex - VD (Vevey) Volumineux!!!
</t>
    </r>
    <r>
      <rPr>
        <sz val="10"/>
        <color rgb="FF0070C0"/>
        <rFont val="Century Gothic"/>
        <family val="2"/>
        <scheme val="minor"/>
      </rPr>
      <t xml:space="preserve">201247 - R - N. Maire - VD
201261 - R - Perrin Frères - VD
201257 - R - Ed. Perillat </t>
    </r>
    <r>
      <rPr>
        <sz val="10"/>
        <color rgb="FFFFC000"/>
        <rFont val="Century Gothic"/>
        <family val="2"/>
        <scheme val="minor"/>
      </rPr>
      <t xml:space="preserve">
</t>
    </r>
  </si>
  <si>
    <t>201256 - M2 - Orllati - VD
201272 - M2 - BIFF - VD</t>
  </si>
  <si>
    <r>
      <rPr>
        <i/>
        <sz val="10"/>
        <color rgb="FFFFC000"/>
        <rFont val="Century Gothic"/>
        <family val="2"/>
        <scheme val="minor"/>
      </rPr>
      <t>200764 - S - Marks Container</t>
    </r>
    <r>
      <rPr>
        <sz val="10"/>
        <rFont val="Century Gothic"/>
        <family val="2"/>
        <scheme val="minor"/>
      </rPr>
      <t xml:space="preserve"> - </t>
    </r>
    <r>
      <rPr>
        <i/>
        <sz val="10"/>
        <rFont val="Century Gothic"/>
        <family val="2"/>
        <scheme val="minor"/>
      </rPr>
      <t>Préparation Sieber S  VS -23.10.20</t>
    </r>
    <r>
      <rPr>
        <sz val="10"/>
        <rFont val="Century Gothic"/>
        <family val="2"/>
        <scheme val="minor"/>
      </rPr>
      <t xml:space="preserve">
</t>
    </r>
    <r>
      <rPr>
        <i/>
        <sz val="10"/>
        <color rgb="FFFFC000"/>
        <rFont val="Century Gothic"/>
        <family val="2"/>
        <scheme val="minor"/>
      </rPr>
      <t>201011 - S - Fagsi - BL</t>
    </r>
    <r>
      <rPr>
        <i/>
        <sz val="10"/>
        <rFont val="Century Gothic"/>
        <family val="2"/>
        <scheme val="minor"/>
      </rPr>
      <t xml:space="preserve"> semie-remorque?</t>
    </r>
    <r>
      <rPr>
        <sz val="1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>201046/201005/201064 - L - Marti - VD</t>
    </r>
    <r>
      <rPr>
        <b/>
        <sz val="10"/>
        <color rgb="FF00B050"/>
        <rFont val="Century Gothic"/>
        <family val="2"/>
        <scheme val="minor"/>
      </rPr>
      <t xml:space="preserve"> 9h00!</t>
    </r>
    <r>
      <rPr>
        <sz val="1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201048 - L - Pizzera -VD 
</t>
    </r>
    <r>
      <rPr>
        <sz val="10"/>
        <color rgb="FFFF0000"/>
        <rFont val="Century Gothic"/>
        <family val="2"/>
        <scheme val="minor"/>
      </rPr>
      <t xml:space="preserve">201054 - M1 - Avesco Rent - VD
</t>
    </r>
    <r>
      <rPr>
        <sz val="10"/>
        <color rgb="FF0070C0"/>
        <rFont val="Century Gothic"/>
        <family val="2"/>
        <scheme val="minor"/>
      </rPr>
      <t xml:space="preserve">200937/201049 - R - Rothpletz - BE
201040 - R - Equipement Pro - NE
200867 - R - Riedo - FR
201059 - R - Baltensperger - ZH
</t>
    </r>
  </si>
  <si>
    <r>
      <rPr>
        <sz val="10"/>
        <color rgb="FFFF0000"/>
        <rFont val="Century Gothic"/>
        <family val="2"/>
        <scheme val="minor"/>
      </rPr>
      <t>201248 - M2 - Losinger - VD Déménagement - Attention! 2 x trajet St-Légier/Satigny</t>
    </r>
    <r>
      <rPr>
        <sz val="10"/>
        <color rgb="FF0070C0"/>
        <rFont val="Century Gothic"/>
        <family val="2"/>
        <scheme val="minor"/>
      </rPr>
      <t xml:space="preserve">
201273 - R - Steiner - GE
</t>
    </r>
    <r>
      <rPr>
        <sz val="10"/>
        <color rgb="FF00B050"/>
        <rFont val="Century Gothic"/>
        <family val="2"/>
        <scheme val="minor"/>
      </rPr>
      <t xml:space="preserve">201274 - L - Implenia - GE 
</t>
    </r>
  </si>
  <si>
    <r>
      <t xml:space="preserve">Visite Abarisk - Essai alarme - 11h00
</t>
    </r>
    <r>
      <rPr>
        <sz val="10"/>
        <color theme="1"/>
        <rFont val="Century Gothic"/>
        <family val="2"/>
        <scheme val="minor"/>
      </rPr>
      <t>Déchetterie et chercher palettes</t>
    </r>
    <r>
      <rPr>
        <b/>
        <sz val="10"/>
        <color theme="1"/>
        <rFont val="Century Gothic"/>
        <family val="2"/>
        <scheme val="minor"/>
      </rPr>
      <t xml:space="preserve">
9h00 - Séance avec Bilel
</t>
    </r>
    <r>
      <rPr>
        <sz val="10"/>
        <color theme="1"/>
        <rFont val="Century Gothic"/>
        <family val="2"/>
        <scheme val="minor"/>
      </rPr>
      <t>Récupération châssis chez Rentas à Renens</t>
    </r>
    <r>
      <rPr>
        <b/>
        <sz val="10"/>
        <color theme="1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201262 - R - Grisoni Zaugg - FR
201252 - R - Frutiger - BE</t>
    </r>
    <r>
      <rPr>
        <b/>
        <sz val="10"/>
        <color theme="1"/>
        <rFont val="Century Gothic"/>
        <family val="2"/>
        <scheme val="minor"/>
      </rPr>
      <t xml:space="preserve">
</t>
    </r>
    <r>
      <rPr>
        <i/>
        <sz val="10"/>
        <color rgb="FFFFC000"/>
        <rFont val="Century Gothic"/>
        <family val="2"/>
        <scheme val="minor"/>
      </rPr>
      <t xml:space="preserve">201232 - S - Heitkamp - GL
</t>
    </r>
    <r>
      <rPr>
        <sz val="10"/>
        <color rgb="FF0070C0"/>
        <rFont val="Century Gothic"/>
        <family val="2"/>
        <scheme val="minor"/>
      </rPr>
      <t xml:space="preserve">201212/201090 - R - Frutiger - BE
201255 - R - L Poissine - VD
201090 - R - Frutiger - BE </t>
    </r>
    <r>
      <rPr>
        <i/>
        <sz val="10"/>
        <color rgb="FFFFC000"/>
        <rFont val="Century Gothic"/>
        <family val="2"/>
        <scheme val="minor"/>
      </rPr>
      <t xml:space="preserve">
</t>
    </r>
  </si>
  <si>
    <t>200966 - M? - AC Immune 20.01.2021! Ou avant si possible</t>
  </si>
  <si>
    <r>
      <t xml:space="preserve">
201124 - M2 - WL Bau - VS a-midi</t>
    </r>
    <r>
      <rPr>
        <sz val="10"/>
        <rFont val="Century Gothic"/>
        <family val="2"/>
        <scheme val="minor"/>
      </rPr>
      <t xml:space="preserve"> 
</t>
    </r>
    <r>
      <rPr>
        <sz val="10"/>
        <color rgb="FF0070C0"/>
        <rFont val="Century Gothic"/>
        <family val="2"/>
        <scheme val="minor"/>
      </rPr>
      <t xml:space="preserve">201288 - R - Orllati
</t>
    </r>
    <r>
      <rPr>
        <sz val="10"/>
        <rFont val="Century Gothic"/>
        <family val="2"/>
        <scheme val="minor"/>
      </rPr>
      <t>Retour camionnette loc.</t>
    </r>
    <r>
      <rPr>
        <sz val="10"/>
        <color rgb="FF0070C0"/>
        <rFont val="Century Gothic"/>
        <family val="2"/>
        <scheme val="minor"/>
      </rPr>
      <t xml:space="preserve">
</t>
    </r>
  </si>
  <si>
    <r>
      <rPr>
        <sz val="10"/>
        <rFont val="Century Gothic"/>
        <family val="2"/>
        <scheme val="minor"/>
      </rPr>
      <t xml:space="preserve">Arrivage Mobika M2
AMAG Lausanne camionnette loc. à chercher
Chercher plateaux chez Rentas et chaisse Alissa D Jura
</t>
    </r>
    <r>
      <rPr>
        <sz val="10"/>
        <color rgb="FF0070C0"/>
        <rFont val="Century Gothic"/>
        <family val="2"/>
        <scheme val="minor"/>
      </rPr>
      <t>201280 - R - Riedo - GE
201283 - R - S. Parietti - GE
201296 - R - Implenia</t>
    </r>
    <r>
      <rPr>
        <sz val="10"/>
        <color rgb="FFFFC000"/>
        <rFont val="Century Gothic"/>
        <family val="2"/>
        <scheme val="minor"/>
      </rPr>
      <t xml:space="preserve">
201232 - S - Heitkamp - GL!
</t>
    </r>
    <r>
      <rPr>
        <sz val="10"/>
        <color rgb="FFFF0000"/>
        <rFont val="Century Gothic"/>
        <family val="2"/>
        <scheme val="minor"/>
      </rPr>
      <t xml:space="preserve">201125 - M1 - Nanou Sol. - FR?
FT 651 - M1 - P. Newzella - FR?
201177 - M2? - Ledixa - VD?
</t>
    </r>
    <r>
      <rPr>
        <sz val="10"/>
        <color rgb="FF0070C0"/>
        <rFont val="Century Gothic"/>
        <family val="2"/>
        <scheme val="minor"/>
      </rPr>
      <t>201198 - R - N. Maendly?</t>
    </r>
  </si>
  <si>
    <r>
      <t xml:space="preserve">201251 - M2 - Mine d'or - VD
</t>
    </r>
    <r>
      <rPr>
        <sz val="10"/>
        <color rgb="FF0070C0"/>
        <rFont val="Century Gothic"/>
        <family val="2"/>
        <scheme val="minor"/>
      </rPr>
      <t xml:space="preserve">201271 - R - Perillat
</t>
    </r>
    <r>
      <rPr>
        <sz val="10"/>
        <rFont val="Century Gothic"/>
        <family val="2"/>
        <scheme val="minor"/>
      </rPr>
      <t>Catalogues - Jaquet SA - VD DPD</t>
    </r>
    <r>
      <rPr>
        <sz val="10"/>
        <color rgb="FFFF0000"/>
        <rFont val="Century Gothic"/>
        <family val="2"/>
        <scheme val="minor"/>
      </rPr>
      <t xml:space="preserve">
</t>
    </r>
  </si>
  <si>
    <r>
      <t xml:space="preserve">201092 - M4 - Trisax - GE!
</t>
    </r>
    <r>
      <rPr>
        <sz val="10"/>
        <color rgb="FF0070C0"/>
        <rFont val="Century Gothic"/>
        <family val="2"/>
        <scheme val="minor"/>
      </rPr>
      <t>201306 - R - Ch. Bulliard</t>
    </r>
  </si>
  <si>
    <r>
      <t xml:space="preserve">201092 - M4 - Trisax - GE!
201211 - M2 - Complexbau - GE?
</t>
    </r>
    <r>
      <rPr>
        <sz val="10"/>
        <color rgb="FF00B050"/>
        <rFont val="Century Gothic"/>
        <family val="2"/>
        <scheme val="minor"/>
      </rPr>
      <t xml:space="preserve">201290 - L - C. Bonner - VD
201314 - L - Piasio - GE
</t>
    </r>
    <r>
      <rPr>
        <sz val="10"/>
        <color rgb="FF0070C0"/>
        <rFont val="Century Gothic"/>
        <family val="2"/>
        <scheme val="minor"/>
      </rPr>
      <t>FT651 - R - Newzella - FR - PTT
201298 - R - Riedo - FR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201263 -  R - Mino</t>
    </r>
  </si>
  <si>
    <r>
      <rPr>
        <sz val="10"/>
        <rFont val="Century Gothic"/>
        <family val="2"/>
        <scheme val="minor"/>
      </rPr>
      <t xml:space="preserve">Montage plexi au bureau cde2593
Jumbo - 6 x siphon (Belloni/Containex)
</t>
    </r>
    <r>
      <rPr>
        <sz val="10"/>
        <color rgb="FFFF0000"/>
        <rFont val="Century Gothic"/>
        <family val="2"/>
        <scheme val="minor"/>
      </rPr>
      <t xml:space="preserve">201177 - M1 - Ledixa - VD 
</t>
    </r>
    <r>
      <rPr>
        <sz val="10"/>
        <color rgb="FF00B050"/>
        <rFont val="Century Gothic"/>
        <family val="2"/>
        <scheme val="minor"/>
      </rPr>
      <t xml:space="preserve">201113 - L - Dieci - VD  
201293 - L - Orllati - VD
201292 - L - Containex - VD 
</t>
    </r>
    <r>
      <rPr>
        <sz val="10"/>
        <color rgb="FF0070C0"/>
        <rFont val="Century Gothic"/>
        <family val="2"/>
        <scheme val="minor"/>
      </rPr>
      <t xml:space="preserve">FT 635 - R - Belloni - GE - DPD  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201305 - R - Riedo - BE
201309 - R - Bollini - VD
201306 - R - Bulliard
201318 - R - Steiner - GE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201276/201312 - R - SBB - TI 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
</t>
    </r>
  </si>
  <si>
    <r>
      <t xml:space="preserve">
201277 - M2 - CSC - GE 
FT648 - M1 - CBRE - VD GG
</t>
    </r>
    <r>
      <rPr>
        <sz val="10"/>
        <rFont val="Century Gothic"/>
        <family val="2"/>
        <scheme val="minor"/>
      </rPr>
      <t xml:space="preserve">Préparer café Bilel
</t>
    </r>
    <r>
      <rPr>
        <sz val="10"/>
        <color rgb="FF0070C0"/>
        <rFont val="Century Gothic"/>
        <family val="2"/>
        <scheme val="minor"/>
      </rPr>
      <t>201222 - R - Strabag - GL
201198 - R - N. Maendly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 xml:space="preserve">201297 - R - CSC - VD
201278 - R - Halter - GE
201282 - R - Belloni - GE
201241/201270 - R - Imbovi - LU
201265 - R - RF Services </t>
    </r>
  </si>
  <si>
    <r>
      <t xml:space="preserve">
</t>
    </r>
    <r>
      <rPr>
        <sz val="10"/>
        <rFont val="Century Gothic"/>
        <family val="2"/>
        <scheme val="minor"/>
      </rPr>
      <t>Chercher palettes</t>
    </r>
    <r>
      <rPr>
        <sz val="10"/>
        <color rgb="FF00B050"/>
        <rFont val="Century Gothic"/>
        <family val="2"/>
        <scheme val="minor"/>
      </rPr>
      <t xml:space="preserve">
201300 - L - Riedo/Fragnière - FR!
201279 - L - Starwash - FR Bossonnens/Bulle
201291 - L - Coliseum - FR!
201308 - L - HRS - VD après FR
</t>
    </r>
    <r>
      <rPr>
        <sz val="10"/>
        <color rgb="FFFF0000"/>
        <rFont val="Century Gothic"/>
        <family val="2"/>
        <scheme val="minor"/>
      </rPr>
      <t xml:space="preserve">201125 - M1 - Nanou Sol. - FR?
</t>
    </r>
    <r>
      <rPr>
        <sz val="10"/>
        <color rgb="FF0070C0"/>
        <rFont val="Century Gothic"/>
        <family val="2"/>
        <scheme val="minor"/>
      </rPr>
      <t xml:space="preserve">201310 - R - Riedo - BE livr. 14.12
</t>
    </r>
    <r>
      <rPr>
        <sz val="10"/>
        <color rgb="FF00B050"/>
        <rFont val="Century Gothic"/>
        <family val="2"/>
        <scheme val="minor"/>
      </rPr>
      <t>201326 - L - Küng - VD
201328 - L - Vaucher -VD</t>
    </r>
    <r>
      <rPr>
        <sz val="10"/>
        <color rgb="FFFF0000"/>
        <rFont val="Century Gothic"/>
        <family val="2"/>
        <scheme val="minor"/>
      </rPr>
      <t xml:space="preserve">
</t>
    </r>
    <r>
      <rPr>
        <sz val="10"/>
        <color rgb="FF00B050"/>
        <rFont val="Century Gothic"/>
        <family val="2"/>
        <scheme val="minor"/>
      </rPr>
      <t xml:space="preserve">
</t>
    </r>
  </si>
  <si>
    <r>
      <t xml:space="preserve">
201299 - L - Induni - GE! </t>
    </r>
    <r>
      <rPr>
        <sz val="10"/>
        <rFont val="Century Gothic"/>
        <family val="2"/>
        <scheme val="minor"/>
      </rPr>
      <t>2 trajets</t>
    </r>
    <r>
      <rPr>
        <sz val="10"/>
        <color rgb="FF00B050"/>
        <rFont val="Century Gothic"/>
        <family val="2"/>
        <scheme val="minor"/>
      </rPr>
      <t xml:space="preserve">
FT 657 - Préparation pour Rentas
</t>
    </r>
    <r>
      <rPr>
        <sz val="10"/>
        <rFont val="Century Gothic"/>
        <family val="2"/>
        <scheme val="minor"/>
      </rPr>
      <t>Retour camionnette</t>
    </r>
  </si>
  <si>
    <r>
      <rPr>
        <sz val="10"/>
        <rFont val="Century Gothic"/>
        <family val="2"/>
        <scheme val="minor"/>
      </rPr>
      <t>8h30 - RDV Sieber M. Rouiller</t>
    </r>
    <r>
      <rPr>
        <sz val="10"/>
        <color rgb="FFFF0000"/>
        <rFont val="Century Gothic"/>
        <family val="2"/>
        <scheme val="minor"/>
      </rPr>
      <t xml:space="preserve">
200748 - M3 - Containex - ZH 
</t>
    </r>
    <r>
      <rPr>
        <sz val="10"/>
        <color rgb="FF0070C0"/>
        <rFont val="Century Gothic"/>
        <family val="2"/>
        <scheme val="minor"/>
      </rPr>
      <t>201300 - Retour Ware Riedo/Fragnière Sieber Transport</t>
    </r>
  </si>
  <si>
    <r>
      <t xml:space="preserve">
</t>
    </r>
    <r>
      <rPr>
        <sz val="10"/>
        <color rgb="FFFF0000"/>
        <rFont val="Century Gothic"/>
        <family val="2"/>
        <scheme val="minor"/>
      </rPr>
      <t>201334 - M2 - Orllati - VD</t>
    </r>
    <r>
      <rPr>
        <sz val="10"/>
        <color rgb="FF00B050"/>
        <rFont val="Century Gothic"/>
        <family val="2"/>
        <scheme val="minor"/>
      </rPr>
      <t xml:space="preserve">
FT657 - Rentas - Déménagement</t>
    </r>
    <r>
      <rPr>
        <sz val="10"/>
        <color rgb="FF0070C0"/>
        <rFont val="Century Gothic"/>
        <family val="2"/>
        <scheme val="minor"/>
      </rPr>
      <t xml:space="preserve">
201340/201335/FT656 - R - Frutiger - BE
201339 - R - Braillard - VD
201315 - R - Riedo/Durtschi - BL
201327 - R - Riedo - FR
201332 - R - Piasio - GE
</t>
    </r>
    <r>
      <rPr>
        <sz val="10"/>
        <color rgb="FF00B050"/>
        <rFont val="Century Gothic"/>
        <family val="2"/>
        <scheme val="minor"/>
      </rPr>
      <t xml:space="preserve">
</t>
    </r>
  </si>
  <si>
    <r>
      <t xml:space="preserve">201313 - L - TDSsport - VD </t>
    </r>
    <r>
      <rPr>
        <sz val="10"/>
        <color rgb="FF002060"/>
        <rFont val="Century Gothic"/>
        <family val="2"/>
        <scheme val="minor"/>
      </rPr>
      <t xml:space="preserve">dès 10h00
</t>
    </r>
    <r>
      <rPr>
        <sz val="10"/>
        <color rgb="FFFF0000"/>
        <rFont val="Century Gothic"/>
        <family val="2"/>
        <scheme val="minor"/>
      </rPr>
      <t>FT 658 - M2 - ACE - VD</t>
    </r>
    <r>
      <rPr>
        <sz val="10"/>
        <color rgb="FF00B050"/>
        <rFont val="Century Gothic"/>
        <family val="2"/>
        <scheme val="minor"/>
      </rPr>
      <t xml:space="preserve">
201330 - L - Riedo/Fragnière - VD
201311 - L - Orllati - VD 
</t>
    </r>
    <r>
      <rPr>
        <sz val="10"/>
        <color rgb="FFFF0000"/>
        <rFont val="Century Gothic"/>
        <family val="2"/>
        <scheme val="minor"/>
      </rPr>
      <t>201331 - M2 - Speedcar - VD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201342 - R - Riedo/Fragnière - FR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201341 - R - Constr. Perret - GE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201196 - R - Bettina 
201338 - R - Audio Techn. ?</t>
    </r>
    <r>
      <rPr>
        <sz val="10"/>
        <color rgb="FF00B050"/>
        <rFont val="Century Gothic"/>
        <family val="2"/>
        <scheme val="minor"/>
      </rPr>
      <t xml:space="preserve">
</t>
    </r>
    <r>
      <rPr>
        <sz val="10"/>
        <rFont val="Century Gothic"/>
        <family val="2"/>
        <scheme val="minor"/>
      </rPr>
      <t>Déchetterie</t>
    </r>
  </si>
  <si>
    <r>
      <t xml:space="preserve">201343 - R - Widmer/Sutter - ZH
</t>
    </r>
    <r>
      <rPr>
        <sz val="10"/>
        <rFont val="Century Gothic"/>
        <family val="2"/>
        <scheme val="minor"/>
      </rPr>
      <t xml:space="preserve">Déchetterie
Rangement dépôt
</t>
    </r>
    <r>
      <rPr>
        <sz val="10"/>
        <color rgb="FFFF0000"/>
        <rFont val="Century Gothic"/>
        <family val="2"/>
        <scheme val="minor"/>
      </rPr>
      <t>201346 - M2 - Orllati - VD</t>
    </r>
    <r>
      <rPr>
        <sz val="10"/>
        <color rgb="FF0070C0"/>
        <rFont val="Century Gothic"/>
        <family val="2"/>
        <scheme val="minor"/>
      </rPr>
      <t xml:space="preserve">
</t>
    </r>
    <r>
      <rPr>
        <sz val="10"/>
        <color rgb="FFFF0000"/>
        <rFont val="Century Gothic"/>
        <family val="2"/>
        <scheme val="minor"/>
      </rPr>
      <t>FT 663 - M1 - Ledixa
FT 662 - M1 - Garage Speedcar</t>
    </r>
    <r>
      <rPr>
        <sz val="10"/>
        <color rgb="FF0070C0"/>
        <rFont val="Century Gothic"/>
        <family val="2"/>
        <scheme val="minor"/>
      </rPr>
      <t xml:space="preserve">
</t>
    </r>
  </si>
  <si>
    <r>
      <rPr>
        <b/>
        <sz val="10"/>
        <rFont val="Century Gothic"/>
        <family val="2"/>
        <scheme val="minor"/>
      </rPr>
      <t>INVENTAIRE</t>
    </r>
    <r>
      <rPr>
        <sz val="10"/>
        <color rgb="FF0070C0"/>
        <rFont val="Century Gothic"/>
        <family val="2"/>
        <scheme val="minor"/>
      </rPr>
      <t xml:space="preserve">
201321 - R  - Nasca Form. - GE 22.11</t>
    </r>
  </si>
  <si>
    <r>
      <t xml:space="preserve">Bilel en vacances jusqu'au 04.01.21
</t>
    </r>
    <r>
      <rPr>
        <sz val="10"/>
        <color rgb="FF0070C0"/>
        <rFont val="Century Gothic"/>
        <family val="2"/>
        <scheme val="minor"/>
      </rPr>
      <t>201351 - R - Riedo/ETF - FR DPD</t>
    </r>
    <r>
      <rPr>
        <sz val="10"/>
        <color theme="1" tint="0.249977111117893"/>
        <rFont val="Century Gothic"/>
        <family val="2"/>
        <scheme val="minor"/>
      </rPr>
      <t xml:space="preserve">
</t>
    </r>
    <r>
      <rPr>
        <sz val="10"/>
        <color rgb="FF0070C0"/>
        <rFont val="Century Gothic"/>
        <family val="2"/>
        <scheme val="minor"/>
      </rPr>
      <t>201268 - R - La Poissine - VD 
201325 - R - CBF - VD</t>
    </r>
  </si>
  <si>
    <r>
      <rPr>
        <sz val="10"/>
        <rFont val="Century Gothic"/>
        <family val="2"/>
        <scheme val="minor"/>
      </rPr>
      <t>Arrivage camion  Mades 8h00</t>
    </r>
    <r>
      <rPr>
        <sz val="10"/>
        <color rgb="FFFF0000"/>
        <rFont val="Century Gothic"/>
        <family val="2"/>
        <scheme val="minor"/>
      </rPr>
      <t xml:space="preserve">
200946/200928 - M3 - Frutiger - BE! Matin!
</t>
    </r>
    <r>
      <rPr>
        <sz val="10"/>
        <color rgb="FF0070C0"/>
        <rFont val="Century Gothic"/>
        <family val="2"/>
        <scheme val="minor"/>
      </rPr>
      <t xml:space="preserve">200863 - R - Rothpletz - BE!
200865 - R - Clot
200770 - 200848 - 200920 - 200893 - 624 - 610 - R- Frutiger - BE
200856 - R - Promoditec - VD
</t>
    </r>
    <r>
      <rPr>
        <i/>
        <sz val="10"/>
        <color rgb="FFFFC000"/>
        <rFont val="Century Gothic"/>
        <family val="2"/>
        <scheme val="minor"/>
      </rPr>
      <t>200857 - 200739 - 200799 - S - heitkamp - ZH</t>
    </r>
    <r>
      <rPr>
        <sz val="10"/>
        <color rgb="FF0070C0"/>
        <rFont val="Century Gothic"/>
        <family val="2"/>
        <scheme val="minor"/>
      </rPr>
      <t xml:space="preserve">
</t>
    </r>
    <r>
      <rPr>
        <i/>
        <sz val="10"/>
        <color rgb="FFFFC000"/>
        <rFont val="Century Gothic"/>
        <family val="2"/>
        <scheme val="minor"/>
      </rPr>
      <t>Sieber Sol. vient récuperer le mat. pour</t>
    </r>
    <r>
      <rPr>
        <i/>
        <sz val="10"/>
        <color rgb="FF0070C0"/>
        <rFont val="Century Gothic"/>
        <family val="2"/>
        <scheme val="minor"/>
      </rPr>
      <t xml:space="preserve"> </t>
    </r>
    <r>
      <rPr>
        <i/>
        <sz val="10"/>
        <color rgb="FFFFC000"/>
        <rFont val="Century Gothic"/>
        <family val="2"/>
        <scheme val="minor"/>
      </rPr>
      <t>200850 - S - Complex Bau - VD!
200812 - S - DM Bau - BE Livraison 30.09.20?</t>
    </r>
  </si>
  <si>
    <t>201370 - M1 - HRS Real Estate - 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</si>
</sst>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fr.&quot;;[Red]\-#,##0.00\ &quot;fr.&quot;"/>
    <numFmt numFmtId="164" formatCode="mmmm\ yyyy"/>
    <numFmt numFmtId="165" formatCode="d"/>
  </numFmts>
  <fonts count="41">
    <font>
      <sz val="11"/>
      <name val="Century Gothic"/>
      <family val="2"/>
      <scheme val="minor"/>
    </font>
    <font>
      <sz val="8"/>
      <name val="Arial"/>
      <family val="2"/>
    </font>
    <font>
      <b/>
      <sz val="11"/>
      <color theme="0"/>
      <name val="Century Gothic"/>
      <family val="2"/>
      <scheme val="minor"/>
    </font>
    <font>
      <sz val="11"/>
      <color theme="0"/>
      <name val="Century Gothic"/>
      <family val="2"/>
      <scheme val="minor"/>
    </font>
    <font>
      <sz val="11"/>
      <name val="Arial"/>
      <family val="2"/>
    </font>
    <font>
      <sz val="11"/>
      <name val="Century Gothic"/>
      <family val="2"/>
    </font>
    <font>
      <sz val="11"/>
      <name val="Century Gothic"/>
      <family val="2"/>
      <scheme val="minor"/>
    </font>
    <font>
      <sz val="11"/>
      <color theme="1" tint="0.249977111117893"/>
      <name val="Arial"/>
      <family val="2"/>
    </font>
    <font>
      <sz val="11"/>
      <color theme="1" tint="0.249977111117893"/>
      <name val="Century Gothic"/>
      <family val="2"/>
      <scheme val="minor"/>
    </font>
    <font>
      <b/>
      <sz val="28"/>
      <color theme="1" tint="0.34998626667073579"/>
      <name val="Century Gothic"/>
      <family val="2"/>
      <scheme val="minor"/>
    </font>
    <font>
      <b/>
      <sz val="14"/>
      <color theme="0"/>
      <name val="Century Gothic"/>
      <family val="2"/>
      <scheme val="minor"/>
    </font>
    <font>
      <sz val="14"/>
      <color theme="1" tint="0.34998626667073579"/>
      <name val="Century Gothic"/>
      <family val="2"/>
      <scheme val="minor"/>
    </font>
    <font>
      <sz val="10"/>
      <color theme="1" tint="0.249977111117893"/>
      <name val="Century Gothic"/>
      <family val="2"/>
      <scheme val="minor"/>
    </font>
    <font>
      <b/>
      <sz val="9"/>
      <color indexed="81"/>
      <name val="Geneva"/>
    </font>
    <font>
      <sz val="10"/>
      <color rgb="FFFF0000"/>
      <name val="Century Gothic"/>
      <family val="2"/>
      <scheme val="minor"/>
    </font>
    <font>
      <sz val="10"/>
      <color rgb="FF00B050"/>
      <name val="Century Gothic"/>
      <family val="2"/>
      <scheme val="minor"/>
    </font>
    <font>
      <sz val="10"/>
      <color rgb="FF7030A0"/>
      <name val="Century Gothic"/>
      <family val="2"/>
      <scheme val="minor"/>
    </font>
    <font>
      <sz val="10"/>
      <name val="Century Gothic"/>
      <family val="2"/>
      <scheme val="minor"/>
    </font>
    <font>
      <sz val="10"/>
      <color rgb="FF0070C0"/>
      <name val="Century Gothic"/>
      <family val="2"/>
      <scheme val="minor"/>
    </font>
    <font>
      <sz val="10"/>
      <color theme="1"/>
      <name val="Century Gothic"/>
      <family val="2"/>
      <scheme val="minor"/>
    </font>
    <font>
      <sz val="10"/>
      <color rgb="FFFF0000"/>
      <name val="Arial"/>
      <family val="2"/>
    </font>
    <font>
      <sz val="10"/>
      <color rgb="FFFFC000"/>
      <name val="Century Gothic"/>
      <family val="2"/>
      <scheme val="minor"/>
    </font>
    <font>
      <sz val="10"/>
      <color theme="8" tint="-0.249977111117893"/>
      <name val="Century Gothic"/>
      <family val="2"/>
      <scheme val="minor"/>
    </font>
    <font>
      <sz val="10"/>
      <color rgb="FF0070C0"/>
      <name val="Arial"/>
      <family val="2"/>
    </font>
    <font>
      <sz val="10"/>
      <color rgb="FF00B050"/>
      <name val="Arial"/>
      <family val="2"/>
    </font>
    <font>
      <sz val="10"/>
      <color theme="8" tint="-0.249977111117893"/>
      <name val="Arial"/>
      <family val="2"/>
    </font>
    <font>
      <sz val="10"/>
      <color rgb="FF7030A0"/>
      <name val="Arial"/>
      <family val="2"/>
    </font>
    <font>
      <b/>
      <sz val="10"/>
      <color rgb="FFFF0000"/>
      <name val="Century Gothic"/>
      <family val="2"/>
      <scheme val="minor"/>
    </font>
    <font>
      <sz val="10"/>
      <color theme="8"/>
      <name val="Century Gothic"/>
      <family val="2"/>
      <scheme val="minor"/>
    </font>
    <font>
      <b/>
      <sz val="10"/>
      <color rgb="FF00B050"/>
      <name val="Century Gothic"/>
      <family val="2"/>
      <scheme val="minor"/>
    </font>
    <font>
      <b/>
      <sz val="10"/>
      <color theme="1" tint="0.249977111117893"/>
      <name val="Century Gothic"/>
      <family val="2"/>
      <scheme val="minor"/>
    </font>
    <font>
      <sz val="10"/>
      <color theme="5" tint="0.39997558519241921"/>
      <name val="Century Gothic"/>
      <family val="2"/>
      <scheme val="minor"/>
    </font>
    <font>
      <b/>
      <sz val="10"/>
      <color theme="1"/>
      <name val="Century Gothic"/>
      <family val="2"/>
      <scheme val="minor"/>
    </font>
    <font>
      <b/>
      <sz val="10"/>
      <name val="Century Gothic"/>
      <family val="2"/>
      <scheme val="minor"/>
    </font>
    <font>
      <b/>
      <sz val="10"/>
      <color rgb="FFFFC000"/>
      <name val="Century Gothic"/>
      <family val="2"/>
      <scheme val="minor"/>
    </font>
    <font>
      <i/>
      <sz val="10"/>
      <color rgb="FFFFC000"/>
      <name val="Century Gothic"/>
      <family val="2"/>
      <scheme val="minor"/>
    </font>
    <font>
      <i/>
      <sz val="10"/>
      <color theme="1"/>
      <name val="Century Gothic"/>
      <family val="2"/>
      <scheme val="minor"/>
    </font>
    <font>
      <i/>
      <sz val="10"/>
      <color rgb="FF0070C0"/>
      <name val="Century Gothic"/>
      <family val="2"/>
      <scheme val="minor"/>
    </font>
    <font>
      <i/>
      <sz val="10"/>
      <name val="Century Gothic"/>
      <family val="2"/>
      <scheme val="minor"/>
    </font>
    <font>
      <i/>
      <sz val="10"/>
      <color theme="1" tint="0.249977111117893"/>
      <name val="Century Gothic"/>
      <family val="2"/>
      <scheme val="minor"/>
    </font>
    <font>
      <sz val="10"/>
      <color rgb="FF002060"/>
      <name val="Century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</fills>
  <borders count="17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ck">
        <color theme="1" tint="0.499984740745262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 tint="-0.2499465926084170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theme="4" tint="-0.2499465926084170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theme="4" tint="-0.24994659260841701"/>
      </right>
      <top/>
      <bottom style="thin">
        <color theme="4" tint="0.39994506668294322"/>
      </bottom>
      <diagonal/>
    </border>
    <border>
      <left style="medium">
        <color theme="4" tint="-0.24994659260841701"/>
      </left>
      <right style="thin">
        <color theme="4" tint="0.39994506668294322"/>
      </right>
      <top style="thin">
        <color theme="4" tint="0.39994506668294322"/>
      </top>
      <bottom style="medium">
        <color theme="4" tint="-0.2499465926084170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0.39994506668294322"/>
      </right>
      <top style="medium">
        <color theme="4" tint="-0.2499465926084170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-0.24994659260841701"/>
      </top>
      <bottom/>
      <diagonal/>
    </border>
    <border>
      <left style="thin">
        <color theme="4" tint="0.39994506668294322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medium">
        <color theme="4" tint="-0.24994659260841701"/>
      </bottom>
      <diagonal/>
    </border>
    <border>
      <left/>
      <right/>
      <top style="thin">
        <color theme="4" tint="0.39994506668294322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0.39994506668294322"/>
      </top>
      <bottom style="medium">
        <color theme="4" tint="-0.24994659260841701"/>
      </bottom>
      <diagonal/>
    </border>
  </borders>
  <cellStyleXfs count="5">
    <xf numFmtId="0" fontId="0" fillId="0" borderId="0"/>
    <xf numFmtId="0" fontId="9" fillId="0" borderId="0" applyNumberFormat="0" applyFill="0" applyAlignment="0" applyProtection="0"/>
    <xf numFmtId="0" fontId="2" fillId="3" borderId="1" applyNumberFormat="0" applyAlignment="0" applyProtection="0"/>
    <xf numFmtId="0" fontId="11" fillId="4" borderId="0" applyNumberFormat="0" applyBorder="0" applyAlignment="0" applyProtection="0"/>
    <xf numFmtId="0" fontId="10" fillId="5" borderId="3" applyNumberFormat="0" applyProtection="0">
      <alignment vertical="center"/>
    </xf>
  </cellStyleXfs>
  <cellXfs count="60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5" fillId="0" borderId="0" xfId="0" applyFont="1"/>
    <xf numFmtId="0" fontId="4" fillId="0" borderId="0" xfId="0" applyFont="1"/>
    <xf numFmtId="165" fontId="8" fillId="0" borderId="1" xfId="0" applyNumberFormat="1" applyFont="1" applyBorder="1" applyAlignment="1">
      <alignment horizontal="left" vertical="center" wrapText="1" indent="1"/>
    </xf>
    <xf numFmtId="165" fontId="8" fillId="2" borderId="1" xfId="0" applyNumberFormat="1" applyFont="1" applyFill="1" applyBorder="1" applyAlignment="1">
      <alignment horizontal="left" vertical="center" wrapText="1" indent="1"/>
    </xf>
    <xf numFmtId="0" fontId="11" fillId="4" borderId="4" xfId="3" applyBorder="1" applyAlignment="1">
      <alignment horizontal="right" vertical="center" wrapText="1"/>
    </xf>
    <xf numFmtId="0" fontId="11" fillId="4" borderId="5" xfId="3" applyBorder="1" applyAlignment="1">
      <alignment vertical="center"/>
    </xf>
    <xf numFmtId="165" fontId="7" fillId="0" borderId="6" xfId="0" applyNumberFormat="1" applyFont="1" applyBorder="1" applyAlignment="1">
      <alignment horizontal="left" vertical="center" indent="1"/>
    </xf>
    <xf numFmtId="165" fontId="8" fillId="0" borderId="7" xfId="0" applyNumberFormat="1" applyFont="1" applyBorder="1" applyAlignment="1">
      <alignment horizontal="left" vertical="center" wrapText="1" indent="1"/>
    </xf>
    <xf numFmtId="165" fontId="8" fillId="0" borderId="6" xfId="0" applyNumberFormat="1" applyFont="1" applyBorder="1" applyAlignment="1">
      <alignment horizontal="left" vertical="center" wrapText="1" indent="1"/>
    </xf>
    <xf numFmtId="165" fontId="8" fillId="2" borderId="6" xfId="0" applyNumberFormat="1" applyFont="1" applyFill="1" applyBorder="1" applyAlignment="1">
      <alignment horizontal="left" vertical="center" wrapText="1" indent="1"/>
    </xf>
    <xf numFmtId="165" fontId="8" fillId="2" borderId="7" xfId="0" applyNumberFormat="1" applyFont="1" applyFill="1" applyBorder="1" applyAlignment="1">
      <alignment horizontal="left" vertical="center" wrapText="1" indent="1"/>
    </xf>
    <xf numFmtId="0" fontId="2" fillId="3" borderId="11" xfId="2" applyBorder="1" applyAlignment="1">
      <alignment horizontal="center" vertical="center"/>
    </xf>
    <xf numFmtId="0" fontId="2" fillId="3" borderId="12" xfId="2" applyBorder="1" applyAlignment="1">
      <alignment horizontal="center" vertical="center"/>
    </xf>
    <xf numFmtId="0" fontId="2" fillId="3" borderId="13" xfId="2" applyBorder="1" applyAlignment="1">
      <alignment horizontal="center" vertical="center"/>
    </xf>
    <xf numFmtId="0" fontId="6" fillId="0" borderId="0" xfId="0" applyFont="1"/>
    <xf numFmtId="0" fontId="12" fillId="0" borderId="1" xfId="0" applyFont="1" applyBorder="1" applyAlignment="1">
      <alignment horizontal="left" vertical="center" wrapText="1" indent="1"/>
    </xf>
    <xf numFmtId="0" fontId="12" fillId="2" borderId="1" xfId="0" applyFont="1" applyFill="1" applyBorder="1" applyAlignment="1">
      <alignment horizontal="left" vertical="center" wrapText="1" indent="1"/>
    </xf>
    <xf numFmtId="0" fontId="12" fillId="0" borderId="10" xfId="0" applyFont="1" applyBorder="1" applyAlignment="1">
      <alignment horizontal="left" vertical="center" wrapText="1" indent="1"/>
    </xf>
    <xf numFmtId="0" fontId="12" fillId="4" borderId="6" xfId="3" applyFont="1" applyBorder="1" applyAlignment="1">
      <alignment horizontal="left" vertical="center" wrapText="1" indent="1"/>
    </xf>
    <xf numFmtId="0" fontId="12" fillId="4" borderId="7" xfId="3" applyFont="1" applyBorder="1" applyAlignment="1">
      <alignment horizontal="left" vertical="center" wrapText="1" indent="1"/>
    </xf>
    <xf numFmtId="0" fontId="12" fillId="4" borderId="9" xfId="3" applyFont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1"/>
    </xf>
    <xf numFmtId="0" fontId="14" fillId="2" borderId="1" xfId="0" applyFont="1" applyFill="1" applyBorder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wrapText="1" indent="1"/>
    </xf>
    <xf numFmtId="0" fontId="15" fillId="2" borderId="1" xfId="0" applyFont="1" applyFill="1" applyBorder="1" applyAlignment="1">
      <alignment horizontal="left" vertical="center" wrapText="1" indent="1"/>
    </xf>
    <xf numFmtId="0" fontId="18" fillId="2" borderId="1" xfId="0" applyFont="1" applyFill="1" applyBorder="1" applyAlignment="1">
      <alignment horizontal="left" vertical="center" wrapText="1" indent="1"/>
    </xf>
    <xf numFmtId="0" fontId="18" fillId="0" borderId="1" xfId="0" applyFont="1" applyBorder="1" applyAlignment="1">
      <alignment horizontal="left" vertical="center" wrapText="1" indent="1"/>
    </xf>
    <xf numFmtId="0" fontId="20" fillId="0" borderId="0" xfId="0" applyFont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 indent="1"/>
    </xf>
    <xf numFmtId="0" fontId="21" fillId="2" borderId="1" xfId="0" applyFont="1" applyFill="1" applyBorder="1" applyAlignment="1">
      <alignment horizontal="left" vertical="center" wrapText="1" indent="1"/>
    </xf>
    <xf numFmtId="0" fontId="22" fillId="0" borderId="1" xfId="0" applyFont="1" applyBorder="1" applyAlignment="1">
      <alignment horizontal="left" vertical="center" wrapText="1" indent="1"/>
    </xf>
    <xf numFmtId="0" fontId="16" fillId="2" borderId="1" xfId="0" applyFont="1" applyFill="1" applyBorder="1" applyAlignment="1">
      <alignment horizontal="left" vertical="center" wrapText="1" indent="1"/>
    </xf>
    <xf numFmtId="0" fontId="17" fillId="2" borderId="1" xfId="0" applyFont="1" applyFill="1" applyBorder="1" applyAlignment="1">
      <alignment horizontal="left" vertical="center" wrapText="1" indent="1"/>
    </xf>
    <xf numFmtId="8" fontId="19" fillId="2" borderId="1" xfId="0" applyNumberFormat="1" applyFont="1" applyFill="1" applyBorder="1" applyAlignment="1">
      <alignment horizontal="left" vertical="center" wrapText="1" indent="1"/>
    </xf>
    <xf numFmtId="0" fontId="17" fillId="0" borderId="1" xfId="0" applyFont="1" applyBorder="1" applyAlignment="1">
      <alignment horizontal="left" vertical="center" wrapText="1" indent="1"/>
    </xf>
    <xf numFmtId="0" fontId="18" fillId="0" borderId="1" xfId="0" applyFont="1" applyFill="1" applyBorder="1" applyAlignment="1">
      <alignment horizontal="left" vertical="center" wrapText="1" indent="1"/>
    </xf>
    <xf numFmtId="0" fontId="22" fillId="2" borderId="1" xfId="0" applyFont="1" applyFill="1" applyBorder="1" applyAlignment="1">
      <alignment horizontal="left" vertical="center" wrapText="1" indent="1"/>
    </xf>
    <xf numFmtId="0" fontId="19" fillId="2" borderId="1" xfId="0" applyFont="1" applyFill="1" applyBorder="1" applyAlignment="1">
      <alignment horizontal="left" vertical="center" wrapText="1" indent="1"/>
    </xf>
    <xf numFmtId="0" fontId="28" fillId="0" borderId="1" xfId="0" applyFont="1" applyBorder="1" applyAlignment="1">
      <alignment horizontal="left" vertical="center" wrapText="1" indent="1"/>
    </xf>
    <xf numFmtId="0" fontId="30" fillId="2" borderId="1" xfId="0" applyFont="1" applyFill="1" applyBorder="1" applyAlignment="1">
      <alignment horizontal="left" vertical="center" wrapText="1" indent="1"/>
    </xf>
    <xf numFmtId="0" fontId="31" fillId="2" borderId="1" xfId="0" applyFont="1" applyFill="1" applyBorder="1" applyAlignment="1">
      <alignment horizontal="left" vertical="center" wrapText="1" indent="1"/>
    </xf>
    <xf numFmtId="0" fontId="32" fillId="0" borderId="1" xfId="0" applyFont="1" applyBorder="1" applyAlignment="1">
      <alignment horizontal="left" vertical="center" wrapText="1" indent="1"/>
    </xf>
    <xf numFmtId="0" fontId="32" fillId="2" borderId="1" xfId="0" applyFont="1" applyFill="1" applyBorder="1" applyAlignment="1">
      <alignment horizontal="left" vertical="center" wrapText="1" indent="1"/>
    </xf>
    <xf numFmtId="0" fontId="19" fillId="0" borderId="1" xfId="0" applyFont="1" applyBorder="1" applyAlignment="1">
      <alignment horizontal="left" vertical="center" wrapText="1" indent="1"/>
    </xf>
    <xf numFmtId="0" fontId="21" fillId="0" borderId="1" xfId="0" applyFont="1" applyBorder="1" applyAlignment="1">
      <alignment horizontal="left" vertical="center" wrapText="1" indent="1"/>
    </xf>
    <xf numFmtId="0" fontId="33" fillId="2" borderId="1" xfId="0" applyFont="1" applyFill="1" applyBorder="1" applyAlignment="1">
      <alignment horizontal="left" vertical="center" wrapText="1" indent="1"/>
    </xf>
    <xf numFmtId="0" fontId="15" fillId="0" borderId="10" xfId="0" applyFont="1" applyBorder="1" applyAlignment="1">
      <alignment horizontal="left" vertical="center" wrapText="1" indent="1"/>
    </xf>
    <xf numFmtId="0" fontId="39" fillId="2" borderId="1" xfId="0" applyFont="1" applyFill="1" applyBorder="1" applyAlignment="1">
      <alignment horizontal="left" vertical="center" wrapText="1" indent="1"/>
    </xf>
    <xf numFmtId="0" fontId="35" fillId="2" borderId="1" xfId="0" applyFont="1" applyFill="1" applyBorder="1" applyAlignment="1">
      <alignment horizontal="left" vertical="center" wrapText="1" indent="1"/>
    </xf>
    <xf numFmtId="0" fontId="33" fillId="0" borderId="1" xfId="0" applyFont="1" applyBorder="1" applyAlignment="1">
      <alignment horizontal="left" vertical="center" wrapText="1" indent="1"/>
    </xf>
    <xf numFmtId="164" fontId="9" fillId="2" borderId="0" xfId="1" applyNumberFormat="1" applyFill="1" applyAlignment="1">
      <alignment horizontal="center" vertical="center"/>
    </xf>
    <xf numFmtId="0" fontId="3" fillId="3" borderId="14" xfId="2" applyFont="1" applyBorder="1" applyAlignment="1">
      <alignment horizontal="left" vertical="center" wrapText="1"/>
    </xf>
    <xf numFmtId="0" fontId="3" fillId="3" borderId="15" xfId="2" applyFont="1" applyBorder="1" applyAlignment="1">
      <alignment horizontal="left" vertical="center" wrapText="1"/>
    </xf>
    <xf numFmtId="0" fontId="3" fillId="3" borderId="16" xfId="2" applyFont="1" applyBorder="1" applyAlignment="1">
      <alignment horizontal="left" vertical="center" wrapText="1"/>
    </xf>
    <xf numFmtId="165" fontId="2" fillId="3" borderId="2" xfId="2" applyNumberFormat="1" applyBorder="1" applyAlignment="1">
      <alignment horizontal="left" vertical="center" wrapText="1"/>
    </xf>
    <xf numFmtId="165" fontId="2" fillId="3" borderId="8" xfId="2" applyNumberFormat="1" applyBorder="1" applyAlignment="1">
      <alignment horizontal="left" vertical="center" wrapText="1"/>
    </xf>
  </cellXfs>
  <cellStyles count="5">
    <cellStyle name="40 % - Accent1" xfId="3" builtinId="31" customBuiltin="1"/>
    <cellStyle name="Accent1" xfId="2" builtinId="29" customBuiltin="1"/>
    <cellStyle name="Accent5" xfId="4" builtinId="45" customBuiltin="1"/>
    <cellStyle name="Normal" xfId="0" builtinId="0" customBuiltin="1"/>
    <cellStyle name="Titre 1" xfId="1" builtinId="16" customBuiltin="1"/>
  </cellStyles>
  <dxfs count="3"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1F2F5"/>
      <rgbColor rgb="00008080"/>
      <rgbColor rgb="00E4EAF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4265"/>
      <rgbColor rgb="00CCFFCC"/>
      <rgbColor rgb="00FFEECD"/>
      <rgbColor rgb="00D0D8E2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1778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B4B4B"/>
    </indexedColors>
    <mruColors>
      <color rgb="FF33CC33"/>
      <color rgb="FF66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YearLookup" displayName="YearLookup" ref="A1:A18" totalsRowShown="0" headerRowDxfId="2" dataDxfId="1">
  <autoFilter ref="A1:A18" xr:uid="{00000000-0009-0000-0100-000001000000}"/>
  <tableColumns count="1">
    <tableColumn id="1" xr3:uid="{00000000-0010-0000-0000-000001000000}" name="Year" dataDxfId="0"/>
  </tableColumns>
  <tableStyleInfo name="TableStyleMedium23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pothecary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Calendar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Apothecary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100000"/>
              </a:schemeClr>
            </a:gs>
            <a:gs pos="68000">
              <a:schemeClr val="phClr">
                <a:tint val="77000"/>
                <a:satMod val="100000"/>
              </a:schemeClr>
            </a:gs>
            <a:gs pos="81000">
              <a:schemeClr val="phClr">
                <a:tint val="79000"/>
                <a:satMod val="100000"/>
              </a:schemeClr>
            </a:gs>
            <a:gs pos="86000">
              <a:schemeClr val="phClr">
                <a:tint val="73000"/>
                <a:satMod val="100000"/>
              </a:schemeClr>
            </a:gs>
            <a:gs pos="100000">
              <a:schemeClr val="phClr">
                <a:tint val="35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73000"/>
                <a:shade val="100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tint val="100000"/>
                <a:shade val="57000"/>
                <a:satMod val="120000"/>
              </a:schemeClr>
            </a:gs>
            <a:gs pos="80000">
              <a:schemeClr val="phClr">
                <a:tint val="100000"/>
                <a:shade val="56000"/>
                <a:satMod val="145000"/>
              </a:schemeClr>
            </a:gs>
            <a:gs pos="88000">
              <a:schemeClr val="phClr">
                <a:tint val="100000"/>
                <a:shade val="63000"/>
                <a:satMod val="160000"/>
              </a:schemeClr>
            </a:gs>
            <a:gs pos="100000">
              <a:schemeClr val="phClr">
                <a:tint val="99000"/>
                <a:shade val="100000"/>
                <a:satMod val="155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glow" dir="tl">
              <a:rot lat="0" lon="0" rev="1800000"/>
            </a:lightRig>
          </a:scene3d>
          <a:sp3d contourW="10160" prstMaterial="dkEdge">
            <a:bevelT w="0" h="0" prst="angle"/>
            <a:contourClr>
              <a:schemeClr val="phClr">
                <a:shade val="30000"/>
                <a:satMod val="150000"/>
              </a:schemeClr>
            </a:contourClr>
          </a:sp3d>
        </a:effectStyle>
        <a:effectStyle>
          <a:effectLst>
            <a:glow rad="50800">
              <a:schemeClr val="phClr">
                <a:tint val="68000"/>
                <a:shade val="93000"/>
                <a:alpha val="37000"/>
                <a:satMod val="250000"/>
              </a:schemeClr>
            </a:glow>
          </a:effectLst>
          <a:scene3d>
            <a:camera prst="orthographicFront">
              <a:rot lat="0" lon="0" rev="0"/>
            </a:camera>
            <a:lightRig rig="glow" dir="t">
              <a:rot lat="0" lon="0" rev="1800000"/>
            </a:lightRig>
          </a:scene3d>
          <a:sp3d contourW="10160" prstMaterial="dkEdge">
            <a:bevelT w="20320" h="19050" prst="angle"/>
            <a:contourClr>
              <a:schemeClr val="phClr">
                <a:shade val="3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3000"/>
            <a:satMod val="14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atMod val="170000"/>
              </a:schemeClr>
              <a:schemeClr val="phClr">
                <a:shade val="70000"/>
                <a:satMod val="13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showGridLines="0" topLeftCell="A10" workbookViewId="0">
      <selection activeCell="G12" sqref="G12"/>
    </sheetView>
  </sheetViews>
  <sheetFormatPr baseColWidth="10" defaultColWidth="8.69921875" defaultRowHeight="13.8"/>
  <cols>
    <col min="1" max="1" width="2.3984375" style="1" customWidth="1"/>
    <col min="2" max="2" width="17.59765625" style="4" customWidth="1"/>
    <col min="3" max="7" width="30.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>
      <c r="B1" s="54">
        <f>DATE(CalendarYear,1,1)</f>
        <v>43831</v>
      </c>
      <c r="C1" s="54"/>
      <c r="D1" s="54"/>
      <c r="E1" s="54"/>
      <c r="F1" s="54"/>
      <c r="G1" s="54"/>
      <c r="H1" s="54"/>
      <c r="J1" s="7" t="s">
        <v>10</v>
      </c>
      <c r="K1" s="8">
        <v>2020</v>
      </c>
    </row>
    <row r="2" spans="1:11" s="3" customFormat="1" ht="21.75" customHeight="1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>
      <c r="B3" s="9" t="str">
        <f>IF(AND(YEAR(JanSun1)=CalendarYear,MONTH(JanSun1)=1),JanSun1, "")</f>
        <v/>
      </c>
      <c r="C3" s="5" t="str">
        <f>IF(AND(YEAR(JanSun1+1)=CalendarYear,MONTH(JanSun1+1)=1),JanSun1+1, "")</f>
        <v/>
      </c>
      <c r="D3" s="5" t="str">
        <f>IF(AND(YEAR(JanSun1+2)=CalendarYear,MONTH(JanSun1+2)=1),JanSun1+2, "")</f>
        <v/>
      </c>
      <c r="E3" s="5">
        <v>1</v>
      </c>
      <c r="F3" s="5">
        <v>2</v>
      </c>
      <c r="G3" s="5">
        <v>3</v>
      </c>
      <c r="H3" s="10">
        <v>3</v>
      </c>
    </row>
    <row r="4" spans="1:11" ht="90" customHeight="1">
      <c r="B4" s="21"/>
      <c r="C4" s="18"/>
      <c r="D4" s="19"/>
      <c r="E4" s="19"/>
      <c r="F4" s="19"/>
      <c r="G4" s="19"/>
      <c r="H4" s="22"/>
    </row>
    <row r="5" spans="1:11" ht="14.1" customHeight="1">
      <c r="B5" s="11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10">
        <v>11</v>
      </c>
    </row>
    <row r="6" spans="1:11" ht="90" customHeight="1">
      <c r="B6" s="21"/>
      <c r="C6" s="24" t="s">
        <v>11</v>
      </c>
      <c r="D6" s="33" t="s">
        <v>26</v>
      </c>
      <c r="E6" s="28" t="s">
        <v>12</v>
      </c>
      <c r="F6" s="24"/>
      <c r="G6" s="24" t="s">
        <v>14</v>
      </c>
      <c r="H6" s="22"/>
    </row>
    <row r="7" spans="1:11" ht="14.1" customHeight="1">
      <c r="B7" s="11">
        <v>12</v>
      </c>
      <c r="C7" s="5">
        <v>13</v>
      </c>
      <c r="D7" s="5">
        <v>14</v>
      </c>
      <c r="E7" s="5">
        <v>15</v>
      </c>
      <c r="F7" s="5">
        <v>16</v>
      </c>
      <c r="G7" s="5">
        <v>17</v>
      </c>
      <c r="H7" s="10">
        <v>18</v>
      </c>
    </row>
    <row r="8" spans="1:11" ht="145.19999999999999">
      <c r="B8" s="21"/>
      <c r="C8" s="24" t="s">
        <v>15</v>
      </c>
      <c r="D8" s="26" t="s">
        <v>13</v>
      </c>
      <c r="E8" s="26" t="s">
        <v>16</v>
      </c>
      <c r="F8" s="25" t="s">
        <v>17</v>
      </c>
      <c r="G8" s="24" t="s">
        <v>18</v>
      </c>
      <c r="H8" s="22"/>
    </row>
    <row r="9" spans="1:11" ht="14.1" customHeight="1">
      <c r="B9" s="12">
        <f>IF(AND(YEAR(JanSun1+21)=CalendarYear,MONTH(JanSun1+21)=1),JanSun1+21, "")</f>
        <v>43849</v>
      </c>
      <c r="C9" s="6">
        <f>IF(AND(YEAR(JanSun1+22)=CalendarYear,MONTH(JanSun1+22)=1),JanSun1+22, "")</f>
        <v>43850</v>
      </c>
      <c r="D9" s="6">
        <f>IF(AND(YEAR(JanSun1+23)=CalendarYear,MONTH(JanSun1+23)=1),JanSun1+23, "")</f>
        <v>43851</v>
      </c>
      <c r="E9" s="6">
        <f>IF(AND(YEAR(JanSun1+24)=CalendarYear,MONTH(JanSun1+24)=1),JanSun1+24, "")</f>
        <v>43852</v>
      </c>
      <c r="F9" s="6">
        <f>IF(AND(YEAR(JanSun1+25)=CalendarYear,MONTH(JanSun1+25)=1),JanSun1+25, "")</f>
        <v>43853</v>
      </c>
      <c r="G9" s="6">
        <f>IF(AND(YEAR(JanSun1+26)=CalendarYear,MONTH(JanSun1+26)=1),JanSun1+26, "")</f>
        <v>43854</v>
      </c>
      <c r="H9" s="13">
        <f>IF(AND(YEAR(JanSun1+27)=CalendarYear,MONTH(JanSun1+27)=1),JanSun1+27, "")</f>
        <v>43855</v>
      </c>
    </row>
    <row r="10" spans="1:11" ht="90" customHeight="1">
      <c r="B10" s="21"/>
      <c r="C10" s="30" t="s">
        <v>19</v>
      </c>
      <c r="D10" s="29" t="s">
        <v>20</v>
      </c>
      <c r="E10" s="33" t="s">
        <v>21</v>
      </c>
      <c r="F10" s="30" t="s">
        <v>24</v>
      </c>
      <c r="G10" s="34" t="s">
        <v>23</v>
      </c>
      <c r="H10" s="22"/>
    </row>
    <row r="11" spans="1:11" ht="14.1" customHeight="1">
      <c r="B11" s="12">
        <f>IF(AND(YEAR(JanSun1+28)=CalendarYear,MONTH(JanSun1+28)=1),JanSun1+28, "")</f>
        <v>43856</v>
      </c>
      <c r="C11" s="6">
        <f>IF(AND(YEAR(JanSun1+29)=CalendarYear,MONTH(JanSun1+29)=1),JanSun1+29, "")</f>
        <v>43857</v>
      </c>
      <c r="D11" s="6">
        <f>IF(AND(YEAR(JanSun1+30)=CalendarYear,MONTH(JanSun1+30)=1),JanSun1+30, "")</f>
        <v>43858</v>
      </c>
      <c r="E11" s="6">
        <f>IF(AND(YEAR(JanSun1+31)=CalendarYear,MONTH(JanSun1+31)=1),JanSun1+31, "")</f>
        <v>43859</v>
      </c>
      <c r="F11" s="6">
        <f>IF(AND(YEAR(JanSun1+32)=CalendarYear,MONTH(JanSun1+32)=1),JanSun1+32, "")</f>
        <v>43860</v>
      </c>
      <c r="G11" s="6">
        <f>IF(AND(YEAR(JanSun1+33)=CalendarYear,MONTH(JanSun1+33)=1),JanSun1+33, "")</f>
        <v>43861</v>
      </c>
      <c r="H11" s="13" t="str">
        <f>IF(AND(YEAR(JanSun1+34)=CalendarYear,MONTH(JanSun1+34)=1),JanSun1+34, "")</f>
        <v/>
      </c>
    </row>
    <row r="12" spans="1:11" ht="90" customHeight="1">
      <c r="B12" s="21"/>
      <c r="C12" s="24" t="s">
        <v>25</v>
      </c>
      <c r="D12" s="26" t="s">
        <v>27</v>
      </c>
      <c r="E12" s="26" t="s">
        <v>28</v>
      </c>
      <c r="F12" s="27" t="s">
        <v>29</v>
      </c>
      <c r="H12" s="22"/>
    </row>
    <row r="13" spans="1:11" ht="14.1" customHeight="1">
      <c r="B13" s="12" t="str">
        <f>IF(AND(YEAR(JanSun1+35)=CalendarYear,MONTH(JanSun1+35)=1),JanSun1+35, "")</f>
        <v/>
      </c>
      <c r="C13" s="6" t="str">
        <f>IF(AND(YEAR(JanSun1+36)=CalendarYear,MONTH(JanSun1+36)=1),JanSun1+36, "")</f>
        <v/>
      </c>
      <c r="D13" s="58" t="s">
        <v>22</v>
      </c>
      <c r="E13" s="58"/>
      <c r="F13" s="58"/>
      <c r="G13" s="58"/>
      <c r="H13" s="59"/>
    </row>
    <row r="14" spans="1:11" ht="57.9" customHeight="1" thickBot="1">
      <c r="B14" s="23"/>
      <c r="C14" s="20"/>
      <c r="D14" s="55"/>
      <c r="E14" s="56"/>
      <c r="F14" s="56"/>
      <c r="G14" s="56"/>
      <c r="H14" s="57"/>
    </row>
  </sheetData>
  <mergeCells count="3">
    <mergeCell ref="B1:H1"/>
    <mergeCell ref="D14:H14"/>
    <mergeCell ref="D13:H13"/>
  </mergeCells>
  <phoneticPr fontId="1" type="noConversion"/>
  <dataValidations disablePrompts="1" count="1">
    <dataValidation type="list" allowBlank="1" showInputMessage="1" showErrorMessage="1" sqref="K1" xr:uid="{00000000-0002-0000-0000-000000000000}">
      <formula1>Year</formula1>
    </dataValidation>
  </dataValidations>
  <printOptions horizontalCentered="1"/>
  <pageMargins left="0.5" right="0.5" top="0.75" bottom="0.75" header="0.5" footer="0.5"/>
  <pageSetup paperSize="9" orientation="portrait" r:id="rId1"/>
  <headerFooter alignWithMargins="0"/>
  <customProperties>
    <customPr name="SheetChanged" r:id="rId2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14"/>
  <sheetViews>
    <sheetView showGridLines="0" workbookViewId="0">
      <selection activeCell="D8" sqref="D8"/>
    </sheetView>
  </sheetViews>
  <sheetFormatPr baseColWidth="10" defaultColWidth="8.69921875" defaultRowHeight="13.8"/>
  <cols>
    <col min="1" max="1" width="2.3984375" style="1" customWidth="1"/>
    <col min="2" max="2" width="17.59765625" style="4" customWidth="1"/>
    <col min="3" max="7" width="30.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>
      <c r="B1" s="54">
        <f>DATE(CalendarYear,10,1)</f>
        <v>44105</v>
      </c>
      <c r="C1" s="54"/>
      <c r="D1" s="54"/>
      <c r="E1" s="54"/>
      <c r="F1" s="54"/>
      <c r="G1" s="54"/>
      <c r="H1" s="54"/>
      <c r="J1" s="7"/>
      <c r="K1" s="8"/>
    </row>
    <row r="2" spans="1:11" s="3" customFormat="1" ht="21.75" customHeight="1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>
      <c r="B3" s="9" t="str">
        <f>IF(AND(YEAR(OctSun1)=CalendarYear,MONTH(OctSun1)=10),OctSun1, "")</f>
        <v/>
      </c>
      <c r="C3" s="5" t="str">
        <f>IF(AND(YEAR(OctSun1+1)=CalendarYear,MONTH(OctSun1+1)=10),OctSun1+1, "")</f>
        <v/>
      </c>
      <c r="D3" s="5" t="str">
        <f>IF(AND(YEAR(OctSun1+2)=CalendarYear,MONTH(OctSun1+2)=10),OctSun1+2, "")</f>
        <v/>
      </c>
      <c r="E3" s="5" t="str">
        <f>IF(AND(YEAR(OctSun1+3)=CalendarYear,MONTH(OctSun1+3)=10),OctSun1+3, "")</f>
        <v/>
      </c>
      <c r="F3" s="5">
        <f>IF(AND(YEAR(OctSun1+4)=CalendarYear,MONTH(OctSun1+4)=10),OctSun1+4, "")</f>
        <v>44105</v>
      </c>
      <c r="G3" s="5">
        <f>IF(AND(YEAR(OctSun1+5)=CalendarYear,MONTH(OctSun1+5)=10),OctSun1+5, "")</f>
        <v>44106</v>
      </c>
      <c r="H3" s="10">
        <f>IF(AND(YEAR(OctSun1+6)=CalendarYear,MONTH(OctSun1+6)=10),OctSun1+6, "")</f>
        <v>44107</v>
      </c>
    </row>
    <row r="4" spans="1:11" ht="171.6">
      <c r="B4" s="21"/>
      <c r="C4" s="24"/>
      <c r="D4" s="26"/>
      <c r="E4" s="26"/>
      <c r="F4" s="33" t="s">
        <v>199</v>
      </c>
      <c r="G4" s="29" t="s">
        <v>200</v>
      </c>
      <c r="H4" s="22"/>
    </row>
    <row r="5" spans="1:11" ht="14.1" customHeight="1">
      <c r="B5" s="11">
        <f>IF(AND(YEAR(OctSun1+7)=CalendarYear,MONTH(OctSun1+7)=10),OctSun1+7, "")</f>
        <v>44108</v>
      </c>
      <c r="C5" s="5">
        <f>IF(AND(YEAR(OctSun1+8)=CalendarYear,MONTH(OctSun1+8)=10),OctSun1+8, "")</f>
        <v>44109</v>
      </c>
      <c r="D5" s="5">
        <f>IF(AND(YEAR(OctSun1+9)=CalendarYear,MONTH(OctSun1+9)=10),OctSun1+9, "")</f>
        <v>44110</v>
      </c>
      <c r="E5" s="5">
        <f>IF(AND(YEAR(OctSun1+10)=CalendarYear,MONTH(OctSun1+10)=10),OctSun1+10, "")</f>
        <v>44111</v>
      </c>
      <c r="F5" s="5">
        <f>IF(AND(YEAR(OctSun1+11)=CalendarYear,MONTH(OctSun1+11)=10),OctSun1+11, "")</f>
        <v>44112</v>
      </c>
      <c r="G5" s="5">
        <f>IF(AND(YEAR(OctSun1+12)=CalendarYear,MONTH(OctSun1+12)=10),OctSun1+12,"")</f>
        <v>44113</v>
      </c>
      <c r="H5" s="10">
        <f>IF(AND(YEAR(OctSun1+13)=CalendarYear,MONTH(OctSun1+13)=10),OctSun1+13, "")</f>
        <v>44114</v>
      </c>
    </row>
    <row r="6" spans="1:11" ht="118.8">
      <c r="B6" s="21"/>
      <c r="C6" s="24" t="s">
        <v>201</v>
      </c>
      <c r="D6" s="26" t="s">
        <v>209</v>
      </c>
      <c r="E6" s="26" t="s">
        <v>204</v>
      </c>
      <c r="F6" s="33" t="s">
        <v>205</v>
      </c>
      <c r="G6" s="26" t="s">
        <v>206</v>
      </c>
      <c r="H6" s="22"/>
    </row>
    <row r="7" spans="1:11" ht="14.1" customHeight="1">
      <c r="B7" s="11">
        <f>IF(AND(YEAR(OctSun1+14)=CalendarYear,MONTH(OctSun1+14)=10),OctSun1+14, "")</f>
        <v>44115</v>
      </c>
      <c r="C7" s="5">
        <f>IF(AND(YEAR(OctSun1+15)=CalendarYear,MONTH(OctSun1+15)=10),OctSun1+15, "")</f>
        <v>44116</v>
      </c>
      <c r="D7" s="5">
        <f>IF(AND(YEAR(OctSun1+16)=CalendarYear,MONTH(OctSun1+16)=10),OctSun1+16, "")</f>
        <v>44117</v>
      </c>
      <c r="E7" s="5">
        <f>IF(AND(YEAR(OctSun1+17)=CalendarYear,MONTH(OctSun1+17)=10),OctSun1+17, "")</f>
        <v>44118</v>
      </c>
      <c r="F7" s="5">
        <f>IF(AND(YEAR(OctSun1+18)=CalendarYear,MONTH(OctSun1+18)=10),OctSun1+18, "")</f>
        <v>44119</v>
      </c>
      <c r="G7" s="5">
        <f>IF(AND(YEAR(OctSun1+19)=CalendarYear,MONTH(OctSun1+19)=10),OctSun1+19, "")</f>
        <v>44120</v>
      </c>
      <c r="H7" s="10">
        <f>IF(AND(YEAR(OctSun1+20)=CalendarYear,MONTH(OctSun1+20)=10),OctSun1+20, "")</f>
        <v>44121</v>
      </c>
    </row>
    <row r="8" spans="1:11" ht="171.6">
      <c r="B8" s="21"/>
      <c r="C8" s="38" t="s">
        <v>241</v>
      </c>
      <c r="D8" s="41" t="s">
        <v>207</v>
      </c>
      <c r="E8" s="49" t="s">
        <v>208</v>
      </c>
      <c r="F8" s="49" t="s">
        <v>210</v>
      </c>
      <c r="G8" s="51" t="s">
        <v>211</v>
      </c>
      <c r="H8" s="22"/>
    </row>
    <row r="9" spans="1:11" ht="14.1" customHeight="1">
      <c r="B9" s="12">
        <f>IF(AND(YEAR(OctSun1+21)=CalendarYear,MONTH(OctSun1+21)=10),OctSun1+21, "")</f>
        <v>44122</v>
      </c>
      <c r="C9" s="6">
        <f>IF(AND(YEAR(OctSun1+22)=CalendarYear,MONTH(OctSun1+22)=10),OctSun1+22, "")</f>
        <v>44123</v>
      </c>
      <c r="D9" s="6">
        <f>IF(AND(YEAR(OctSun1+23)=CalendarYear,MONTH(OctSun1+23)=10),OctSun1+23, "")</f>
        <v>44124</v>
      </c>
      <c r="E9" s="6">
        <f>IF(AND(YEAR(OctSun1+24)=CalendarYear,MONTH(OctSun1+24)=10),OctSun1+24, "")</f>
        <v>44125</v>
      </c>
      <c r="F9" s="6">
        <f>IF(AND(YEAR(OctSun1+25)=CalendarYear,MONTH(OctSun1+25)=10),OctSun1+25, "")</f>
        <v>44126</v>
      </c>
      <c r="G9" s="6">
        <f>IF(AND(YEAR(OctSun1+26)=CalendarYear,MONTH(OctSun1+26)=10),OctSun1+26, "")</f>
        <v>44127</v>
      </c>
      <c r="H9" s="13">
        <f>IF(AND(YEAR(OctSun1+27)=CalendarYear,MONTH(OctSun1+27)=10),OctSun1+27, "")</f>
        <v>44128</v>
      </c>
    </row>
    <row r="10" spans="1:11" ht="132">
      <c r="B10" s="21"/>
      <c r="C10" s="48" t="s">
        <v>213</v>
      </c>
      <c r="D10" s="36" t="s">
        <v>212</v>
      </c>
      <c r="E10" s="52" t="s">
        <v>214</v>
      </c>
      <c r="F10" s="33" t="s">
        <v>216</v>
      </c>
      <c r="G10" s="26" t="s">
        <v>215</v>
      </c>
      <c r="H10" s="22"/>
    </row>
    <row r="11" spans="1:11" ht="14.1" customHeight="1">
      <c r="B11" s="12">
        <f>IF(AND(YEAR(OctSun1+28)=CalendarYear,MONTH(OctSun1+28)=10),OctSun1+28, "")</f>
        <v>44129</v>
      </c>
      <c r="C11" s="6">
        <f>IF(AND(YEAR(OctSun1+29)=CalendarYear,MONTH(OctSun1+29)=10),OctSun1+29, "")</f>
        <v>44130</v>
      </c>
      <c r="D11" s="6">
        <f>IF(AND(YEAR(OctSun1+30)=CalendarYear,MONTH(OctSun1+30)=10),OctSun1+30, "")</f>
        <v>44131</v>
      </c>
      <c r="E11" s="6">
        <f>IF(AND(YEAR(OctSun1+31)=CalendarYear,MONTH(OctSun1+31)=10),OctSun1+31, "")</f>
        <v>44132</v>
      </c>
      <c r="F11" s="6">
        <v>29</v>
      </c>
      <c r="G11" s="6">
        <f>IF(AND(YEAR(OctSun1+33)=CalendarYear,MONTH(OctSun1+33)=10),OctSun1+33, "")</f>
        <v>44134</v>
      </c>
      <c r="H11" s="13">
        <f>IF(AND(YEAR(OctSun1+34)=CalendarYear,MONTH(OctSun1+34)=10),OctSun1+34, "")</f>
        <v>44135</v>
      </c>
    </row>
    <row r="12" spans="1:11" ht="174.75" customHeight="1">
      <c r="B12" s="21"/>
      <c r="C12" s="24" t="s">
        <v>217</v>
      </c>
      <c r="D12" s="33" t="s">
        <v>230</v>
      </c>
      <c r="E12" s="26" t="s">
        <v>218</v>
      </c>
      <c r="F12" s="26" t="s">
        <v>220</v>
      </c>
      <c r="G12" s="26" t="s">
        <v>219</v>
      </c>
      <c r="H12" s="22"/>
    </row>
    <row r="13" spans="1:11" ht="14.1" customHeight="1">
      <c r="B13" s="12" t="str">
        <f>IF(AND(YEAR(OctSun1+35)=CalendarYear,MONTH(OctSun1+35)=10),OctSun1+35, "")</f>
        <v/>
      </c>
      <c r="C13" s="6" t="str">
        <f>IF(AND(YEAR(OctSun1+36)=CalendarYear,MONTH(OctSun1+36)=10),OctSun1+36, "")</f>
        <v/>
      </c>
      <c r="D13" s="58"/>
      <c r="E13" s="58"/>
      <c r="F13" s="58"/>
      <c r="G13" s="58"/>
      <c r="H13" s="59"/>
    </row>
    <row r="14" spans="1:11" ht="57.9" customHeight="1" thickBot="1">
      <c r="B14" s="23"/>
      <c r="C14" s="20"/>
      <c r="D14" s="55"/>
      <c r="E14" s="56"/>
      <c r="F14" s="56"/>
      <c r="G14" s="56"/>
      <c r="H14" s="57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14"/>
  <sheetViews>
    <sheetView showGridLines="0" topLeftCell="C7" workbookViewId="0">
      <selection activeCell="G10" sqref="G10"/>
    </sheetView>
  </sheetViews>
  <sheetFormatPr baseColWidth="10" defaultColWidth="8.69921875" defaultRowHeight="13.8"/>
  <cols>
    <col min="1" max="1" width="2.3984375" style="1" customWidth="1"/>
    <col min="2" max="2" width="17.59765625" style="4" customWidth="1"/>
    <col min="3" max="3" width="33.59765625" style="4" customWidth="1"/>
    <col min="4" max="7" width="30.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>
      <c r="B1" s="54">
        <f>DATE(CalendarYear,11,1)</f>
        <v>44136</v>
      </c>
      <c r="C1" s="54"/>
      <c r="D1" s="54"/>
      <c r="E1" s="54"/>
      <c r="F1" s="54"/>
      <c r="G1" s="54"/>
      <c r="H1" s="54"/>
      <c r="J1" s="7"/>
      <c r="K1" s="8"/>
    </row>
    <row r="2" spans="1:11" s="3" customFormat="1" ht="21.75" customHeight="1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>
      <c r="B3" s="9">
        <f>IF(AND(YEAR(NovSun1)=CalendarYear,MONTH(NovSun1)=11),NovSun1, "")</f>
        <v>44136</v>
      </c>
      <c r="C3" s="5">
        <f>IF(AND(YEAR(NovSun1+1)=CalendarYear,MONTH(NovSun1+1)=11),NovSun1+1, "")</f>
        <v>44137</v>
      </c>
      <c r="D3" s="5">
        <f>IF(AND(YEAR(NovSun1+2)=CalendarYear,MONTH(NovSun1+2)=11),NovSun1+2, "")</f>
        <v>44138</v>
      </c>
      <c r="E3" s="5">
        <f>IF(AND(YEAR(NovSun1+3)=CalendarYear,MONTH(NovSun1+3)=11),NovSun1+3, "")</f>
        <v>44139</v>
      </c>
      <c r="F3" s="5">
        <f>IF(AND(YEAR(NovSun1+4)=CalendarYear,MONTH(NovSun1+4)=11),NovSun1+4, "")</f>
        <v>44140</v>
      </c>
      <c r="G3" s="5">
        <f>IF(AND(YEAR(NovSun1+5)=CalendarYear,MONTH(NovSun1+5)=11),NovSun1+5, "")</f>
        <v>44141</v>
      </c>
      <c r="H3" s="10">
        <f>IF(AND(YEAR(NovSun1+6)=CalendarYear,MONTH(NovSun1+6)=11),NovSun1+6, "")</f>
        <v>44142</v>
      </c>
    </row>
    <row r="4" spans="1:11" ht="211.2">
      <c r="B4" s="21"/>
      <c r="C4" s="24" t="s">
        <v>221</v>
      </c>
      <c r="D4" s="29" t="s">
        <v>222</v>
      </c>
      <c r="E4" s="33" t="s">
        <v>223</v>
      </c>
      <c r="F4" s="41" t="s">
        <v>226</v>
      </c>
      <c r="G4" s="49" t="s">
        <v>225</v>
      </c>
      <c r="H4" s="22"/>
    </row>
    <row r="5" spans="1:11" ht="14.1" customHeight="1">
      <c r="B5" s="11">
        <f>IF(AND(YEAR(NovSun1+7)=CalendarYear,MONTH(NovSun1+7)=11),NovSun1+7, "")</f>
        <v>44143</v>
      </c>
      <c r="C5" s="5">
        <f>IF(AND(YEAR(NovSun1+8)=CalendarYear,MONTH(NovSun1+8)=11),NovSun1+8, "")</f>
        <v>44144</v>
      </c>
      <c r="D5" s="5">
        <f>IF(AND(YEAR(NovSun1+9)=CalendarYear,MONTH(NovSun1+9)=11),NovSun1+9, "")</f>
        <v>44145</v>
      </c>
      <c r="E5" s="5">
        <f>IF(AND(YEAR(NovSun1+10)=CalendarYear,MONTH(NovSun1+10)=11),NovSun1+10, "")</f>
        <v>44146</v>
      </c>
      <c r="F5" s="5">
        <f>IF(AND(YEAR(NovSun1+11)=CalendarYear,MONTH(NovSun1+11)=11),NovSun1+11, "")</f>
        <v>44147</v>
      </c>
      <c r="G5" s="5">
        <f>IF(AND(YEAR(NovSun1+12)=CalendarYear,MONTH(NovSun1+12)=11),NovSun1+12,"")</f>
        <v>44148</v>
      </c>
      <c r="H5" s="10">
        <f>IF(AND(YEAR(NovSun1+13)=CalendarYear,MONTH(NovSun1+13)=11),NovSun1+13, "")</f>
        <v>44149</v>
      </c>
    </row>
    <row r="6" spans="1:11" ht="132">
      <c r="B6" s="21"/>
      <c r="C6" s="24" t="s">
        <v>224</v>
      </c>
      <c r="D6" s="41" t="s">
        <v>228</v>
      </c>
      <c r="E6" s="26" t="s">
        <v>231</v>
      </c>
      <c r="F6" s="52" t="s">
        <v>232</v>
      </c>
      <c r="G6" s="26" t="s">
        <v>227</v>
      </c>
      <c r="H6" s="22"/>
    </row>
    <row r="7" spans="1:11" ht="14.1" customHeight="1">
      <c r="B7" s="11">
        <f>IF(AND(YEAR(NovSun1+14)=CalendarYear,MONTH(NovSun1+14)=11),NovSun1+14, "")</f>
        <v>44150</v>
      </c>
      <c r="C7" s="5">
        <f>IF(AND(YEAR(NovSun1+15)=CalendarYear,MONTH(NovSun1+15)=11),NovSun1+15, "")</f>
        <v>44151</v>
      </c>
      <c r="D7" s="5">
        <f>IF(AND(YEAR(NovSun1+16)=CalendarYear,MONTH(NovSun1+16)=11),NovSun1+16, "")</f>
        <v>44152</v>
      </c>
      <c r="E7" s="5"/>
      <c r="F7" s="5">
        <f>IF(AND(YEAR(NovSun1+18)=CalendarYear,MONTH(NovSun1+18)=11),NovSun1+18, "")</f>
        <v>44154</v>
      </c>
      <c r="G7" s="5">
        <v>20</v>
      </c>
      <c r="H7" s="10">
        <f>IF(AND(YEAR(NovSun1+20)=CalendarYear,MONTH(NovSun1+20)=11),NovSun1+20, "")</f>
        <v>44156</v>
      </c>
    </row>
    <row r="8" spans="1:11" ht="184.8">
      <c r="B8" s="21"/>
      <c r="C8" s="24" t="s">
        <v>229</v>
      </c>
      <c r="D8" s="19" t="s">
        <v>237</v>
      </c>
      <c r="E8" s="36" t="s">
        <v>233</v>
      </c>
      <c r="F8" s="29" t="s">
        <v>234</v>
      </c>
      <c r="G8" s="36" t="s">
        <v>235</v>
      </c>
      <c r="H8" s="22"/>
    </row>
    <row r="9" spans="1:11" ht="14.1" customHeight="1">
      <c r="B9" s="12">
        <f>IF(AND(YEAR(NovSun1+21)=CalendarYear,MONTH(NovSun1+21)=11),NovSun1+21, "")</f>
        <v>44157</v>
      </c>
      <c r="C9" s="6">
        <f>IF(AND(YEAR(NovSun1+22)=CalendarYear,MONTH(NovSun1+22)=11),NovSun1+22, "")</f>
        <v>44158</v>
      </c>
      <c r="D9" s="6">
        <f>IF(AND(YEAR(NovSun1+23)=CalendarYear,MONTH(NovSun1+23)=11),NovSun1+23, "")</f>
        <v>44159</v>
      </c>
      <c r="E9" s="6">
        <f>IF(AND(YEAR(NovSun1+24)=CalendarYear,MONTH(NovSun1+24)=11),NovSun1+24, "")</f>
        <v>44160</v>
      </c>
      <c r="F9" s="6">
        <f>IF(AND(YEAR(NovSun1+25)=CalendarYear,MONTH(NovSun1+25)=11),NovSun1+25, "")</f>
        <v>44161</v>
      </c>
      <c r="G9" s="6">
        <f>IF(AND(YEAR(NovSun1+26)=CalendarYear,MONTH(NovSun1+26)=11),NovSun1+26, "")</f>
        <v>44162</v>
      </c>
      <c r="H9" s="13">
        <f>IF(AND(YEAR(NovSun1+27)=CalendarYear,MONTH(NovSun1+27)=11),NovSun1+27, "")</f>
        <v>44163</v>
      </c>
    </row>
    <row r="10" spans="1:11" ht="169.8">
      <c r="B10" s="21"/>
      <c r="C10" s="24" t="s">
        <v>236</v>
      </c>
      <c r="D10" s="26" t="s">
        <v>238</v>
      </c>
      <c r="E10" s="33" t="s">
        <v>239</v>
      </c>
      <c r="F10" s="46" t="s">
        <v>243</v>
      </c>
      <c r="G10" s="26" t="s">
        <v>247</v>
      </c>
      <c r="H10" s="22"/>
    </row>
    <row r="11" spans="1:11" ht="14.1" customHeight="1">
      <c r="B11" s="12">
        <f>IF(AND(YEAR(NovSun1+28)=CalendarYear,MONTH(NovSun1+28)=11),NovSun1+28, "")</f>
        <v>44164</v>
      </c>
      <c r="C11" s="6">
        <v>30</v>
      </c>
      <c r="D11" s="6"/>
      <c r="E11" s="6" t="str">
        <f>IF(AND(YEAR(NovSun1+31)=CalendarYear,MONTH(NovSun1+31)=11),NovSun1+31, "")</f>
        <v/>
      </c>
      <c r="F11" s="6" t="str">
        <f>IF(AND(YEAR(NovSun1+32)=CalendarYear,MONTH(NovSun1+32)=11),NovSun1+32, "")</f>
        <v/>
      </c>
      <c r="G11" s="6" t="str">
        <f>IF(AND(YEAR(NovSun1+33)=CalendarYear,MONTH(NovSun1+33)=11),NovSun1+33, "")</f>
        <v/>
      </c>
      <c r="H11" s="13" t="str">
        <f>IF(AND(YEAR(NovSun1+34)=CalendarYear,MONTH(NovSun1+34)=11),NovSun1+34, "")</f>
        <v/>
      </c>
    </row>
    <row r="12" spans="1:11" ht="90" customHeight="1">
      <c r="B12" s="21"/>
      <c r="C12" s="24" t="s">
        <v>240</v>
      </c>
      <c r="D12" s="19"/>
      <c r="E12" s="19"/>
      <c r="F12" s="19"/>
      <c r="G12" s="19"/>
      <c r="H12" s="22"/>
    </row>
    <row r="13" spans="1:11" ht="14.1" customHeight="1">
      <c r="B13" s="12" t="str">
        <f>IF(AND(YEAR(NovSun1+35)=CalendarYear,MONTH(NovSun1+35)=11),NovSun1+35, "")</f>
        <v/>
      </c>
      <c r="C13" s="6" t="s">
        <v>8</v>
      </c>
      <c r="D13" s="58"/>
      <c r="E13" s="58"/>
      <c r="F13" s="58"/>
      <c r="G13" s="58"/>
      <c r="H13" s="59"/>
    </row>
    <row r="14" spans="1:11" ht="57.9" customHeight="1" thickBot="1">
      <c r="B14" s="23"/>
      <c r="C14" s="20"/>
      <c r="D14" s="55"/>
      <c r="E14" s="56"/>
      <c r="F14" s="56"/>
      <c r="G14" s="56"/>
      <c r="H14" s="57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4"/>
  <sheetViews>
    <sheetView showGridLines="0" tabSelected="1" topLeftCell="A5" workbookViewId="0">
      <selection activeCell="E10" sqref="E10"/>
    </sheetView>
  </sheetViews>
  <sheetFormatPr baseColWidth="10" defaultColWidth="8.69921875" defaultRowHeight="13.8"/>
  <cols>
    <col min="1" max="1" width="2.3984375" style="1" customWidth="1"/>
    <col min="2" max="2" width="17.59765625" style="4" customWidth="1"/>
    <col min="3" max="7" width="30.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>
      <c r="B1" s="54">
        <f>DATE(CalendarYear,12,1)</f>
        <v>44166</v>
      </c>
      <c r="C1" s="54"/>
      <c r="D1" s="54"/>
      <c r="E1" s="54"/>
      <c r="F1" s="54"/>
      <c r="G1" s="54"/>
      <c r="H1" s="54"/>
      <c r="J1" s="7"/>
      <c r="K1" s="8"/>
    </row>
    <row r="2" spans="1:11" s="3" customFormat="1" ht="21.75" customHeight="1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>
      <c r="B3" s="9" t="str">
        <f>IF(AND(YEAR(DecSun1)=CalendarYear,MONTH(DecSun1)=12),DecSun1, "")</f>
        <v/>
      </c>
      <c r="C3" s="5" t="str">
        <f>IF(AND(YEAR(DecSun1+1)=CalendarYear,MONTH(DecSun1+1)=12),DecSun1+1, "")</f>
        <v/>
      </c>
      <c r="D3" s="5">
        <f>IF(AND(YEAR(DecSun1+2)=CalendarYear,MONTH(DecSun1+2)=12),DecSun1+2, "")</f>
        <v>44166</v>
      </c>
      <c r="E3" s="5">
        <f>IF(AND(YEAR(DecSun1+3)=CalendarYear,MONTH(DecSun1+3)=12),DecSun1+3, "")</f>
        <v>44167</v>
      </c>
      <c r="F3" s="5">
        <f>IF(AND(YEAR(DecSun1+4)=CalendarYear,MONTH(DecSun1+4)=12),DecSun1+4, "")</f>
        <v>44168</v>
      </c>
      <c r="G3" s="5">
        <f>IF(AND(YEAR(DecSun1+5)=CalendarYear,MONTH(DecSun1+5)=12),DecSun1+5, "")</f>
        <v>44169</v>
      </c>
      <c r="H3" s="10">
        <f>IF(AND(YEAR(DecSun1+6)=CalendarYear,MONTH(DecSun1+6)=12),DecSun1+6, "")</f>
        <v>44170</v>
      </c>
    </row>
    <row r="4" spans="1:11" ht="171.6">
      <c r="B4" s="21"/>
      <c r="C4" s="18"/>
      <c r="D4" s="29" t="s">
        <v>242</v>
      </c>
      <c r="E4" s="26" t="s">
        <v>245</v>
      </c>
      <c r="F4" s="33" t="s">
        <v>246</v>
      </c>
      <c r="G4" s="26" t="s">
        <v>251</v>
      </c>
      <c r="H4" s="22"/>
    </row>
    <row r="5" spans="1:11" ht="14.1" customHeight="1">
      <c r="B5" s="11">
        <f>IF(AND(YEAR(DecSun1+7)=CalendarYear,MONTH(DecSun1+7)=12),DecSun1+7, "")</f>
        <v>44171</v>
      </c>
      <c r="C5" s="5">
        <f>IF(AND(YEAR(DecSun1+8)=CalendarYear,MONTH(DecSun1+8)=12),DecSun1+8, "")</f>
        <v>44172</v>
      </c>
      <c r="D5" s="5">
        <f>IF(AND(YEAR(DecSun1+9)=CalendarYear,MONTH(DecSun1+9)=12),DecSun1+9, "")</f>
        <v>44173</v>
      </c>
      <c r="E5" s="5">
        <f>IF(AND(YEAR(DecSun1+10)=CalendarYear,MONTH(DecSun1+10)=12),DecSun1+10, "")</f>
        <v>44174</v>
      </c>
      <c r="F5" s="5">
        <f>IF(AND(YEAR(DecSun1+11)=CalendarYear,MONTH(DecSun1+11)=12),DecSun1+11, "")</f>
        <v>44175</v>
      </c>
      <c r="G5" s="5">
        <f>IF(AND(YEAR(DecSun1+12)=CalendarYear,MONTH(DecSun1+12)=12),DecSun1+12,"")</f>
        <v>44176</v>
      </c>
      <c r="H5" s="10">
        <f>IF(AND(YEAR(DecSun1+13)=CalendarYear,MONTH(DecSun1+13)=12),DecSun1+13, "")</f>
        <v>44177</v>
      </c>
    </row>
    <row r="6" spans="1:11" ht="224.4">
      <c r="B6" s="21"/>
      <c r="C6" s="24" t="s">
        <v>248</v>
      </c>
      <c r="D6" s="26" t="s">
        <v>249</v>
      </c>
      <c r="E6" s="29" t="s">
        <v>250</v>
      </c>
      <c r="F6" s="28" t="s">
        <v>252</v>
      </c>
      <c r="G6" s="28" t="s">
        <v>253</v>
      </c>
      <c r="H6" s="22"/>
    </row>
    <row r="7" spans="1:11" ht="14.1" customHeight="1">
      <c r="B7" s="11">
        <f>IF(AND(YEAR(DecSun1+14)=CalendarYear,MONTH(DecSun1+14)=12),DecSun1+14, "")</f>
        <v>44178</v>
      </c>
      <c r="C7" s="5">
        <f>IF(AND(YEAR(DecSun1+15)=CalendarYear,MONTH(DecSun1+15)=12),DecSun1+15, "")</f>
        <v>44179</v>
      </c>
      <c r="D7" s="5">
        <f>IF(AND(YEAR(DecSun1+16)=CalendarYear,MONTH(DecSun1+16)=12),DecSun1+16, "")</f>
        <v>44180</v>
      </c>
      <c r="E7" s="5">
        <f>IF(AND(YEAR(DecSun1+17)=CalendarYear,MONTH(DecSun1+17)=12),DecSun1+17, "")</f>
        <v>44181</v>
      </c>
      <c r="F7" s="5">
        <f>IF(AND(YEAR(DecSun1+18)=CalendarYear,MONTH(DecSun1+18)=12),DecSun1+18, "")</f>
        <v>44182</v>
      </c>
      <c r="G7" s="5">
        <v>18</v>
      </c>
      <c r="H7" s="10">
        <f>IF(AND(YEAR(DecSun1+20)=CalendarYear,MONTH(DecSun1+20)=12),DecSun1+20, "")</f>
        <v>44184</v>
      </c>
    </row>
    <row r="8" spans="1:11" ht="145.19999999999999" customHeight="1">
      <c r="B8" s="21"/>
      <c r="C8" s="53" t="s">
        <v>255</v>
      </c>
      <c r="D8" s="28" t="s">
        <v>256</v>
      </c>
      <c r="E8" s="29" t="s">
        <v>257</v>
      </c>
      <c r="F8" s="26" t="s">
        <v>254</v>
      </c>
      <c r="G8" s="29" t="s">
        <v>258</v>
      </c>
      <c r="H8" s="22"/>
    </row>
    <row r="9" spans="1:11" ht="14.1" customHeight="1">
      <c r="B9" s="12">
        <f>IF(AND(YEAR(DecSun1+21)=CalendarYear,MONTH(DecSun1+21)=12),DecSun1+21, "")</f>
        <v>44185</v>
      </c>
      <c r="C9" s="6">
        <f>IF(AND(YEAR(DecSun1+22)=CalendarYear,MONTH(DecSun1+22)=12),DecSun1+22, "")</f>
        <v>44186</v>
      </c>
      <c r="D9" s="6">
        <f>IF(AND(YEAR(DecSun1+23)=CalendarYear,MONTH(DecSun1+23)=12),DecSun1+23, "")</f>
        <v>44187</v>
      </c>
      <c r="E9" s="6">
        <f>IF(AND(YEAR(DecSun1+24)=CalendarYear,MONTH(DecSun1+24)=12),DecSun1+24, "")</f>
        <v>44188</v>
      </c>
      <c r="F9" s="6">
        <f>IF(AND(YEAR(DecSun1+25)=CalendarYear,MONTH(DecSun1+25)=12),DecSun1+25, "")</f>
        <v>44189</v>
      </c>
      <c r="G9" s="6">
        <f>IF(AND(YEAR(DecSun1+26)=CalendarYear,MONTH(DecSun1+26)=12),DecSun1+26, "")</f>
        <v>44190</v>
      </c>
      <c r="H9" s="13">
        <f>IF(AND(YEAR(DecSun1+27)=CalendarYear,MONTH(DecSun1+27)=12),DecSun1+27, "")</f>
        <v>44191</v>
      </c>
    </row>
    <row r="10" spans="1:11" ht="90" customHeight="1">
      <c r="B10" s="21"/>
      <c r="C10" s="18" t="s">
        <v>259</v>
      </c>
      <c r="D10" s="19"/>
      <c r="E10" s="26" t="s">
        <v>261</v>
      </c>
      <c r="F10" s="19"/>
      <c r="G10" s="19"/>
      <c r="H10" s="22"/>
    </row>
    <row r="11" spans="1:11" ht="14.1" customHeight="1">
      <c r="B11" s="12">
        <f>IF(AND(YEAR(DecSun1+28)=CalendarYear,MONTH(DecSun1+28)=12),DecSun1+28, "")</f>
        <v>44192</v>
      </c>
      <c r="C11" s="6">
        <f>IF(AND(YEAR(DecSun1+29)=CalendarYear,MONTH(DecSun1+29)=12),DecSun1+29, "")</f>
        <v>44193</v>
      </c>
      <c r="D11" s="6">
        <f>IF(AND(YEAR(DecSun1+30)=CalendarYear,MONTH(DecSun1+30)=12),DecSun1+30, "")</f>
        <v>44194</v>
      </c>
      <c r="E11" s="6"/>
      <c r="F11" s="6">
        <f>IF(AND(YEAR(DecSun1+32)=CalendarYear,MONTH(DecSun1+32)=12),DecSun1+32, "")</f>
        <v>44196</v>
      </c>
      <c r="G11" s="6" t="str">
        <f>IF(AND(YEAR(DecSun1+33)=CalendarYear,MONTH(DecSun1+33)=12),DecSun1+33, "")</f>
        <v/>
      </c>
      <c r="H11" s="13" t="str">
        <f>IF(AND(YEAR(DecSun1+34)=CalendarYear,MONTH(DecSun1+34)=12),DecSun1+34, "")</f>
        <v/>
      </c>
    </row>
    <row r="12" spans="1:11" ht="90" customHeight="1">
      <c r="B12" s="21"/>
      <c r="C12" s="18"/>
      <c r="D12" s="19"/>
      <c r="E12" s="19"/>
      <c r="F12" s="26" t="s">
        <v>244</v>
      </c>
      <c r="G12" s="19"/>
      <c r="H12" s="22"/>
    </row>
    <row r="13" spans="1:11" ht="14.1" customHeight="1">
      <c r="B13" s="12" t="str">
        <f>IF(AND(YEAR(DecSun1+35)=CalendarYear,MONTH(DecSun1+35)=12),DecSun1+35, "")</f>
        <v/>
      </c>
      <c r="C13" s="6" t="str">
        <f>IF(AND(YEAR(DecSun1+36)=CalendarYear,MONTH(DecSun1+36)=12),DecSun1+36, "")</f>
        <v/>
      </c>
      <c r="D13" s="58" t="s">
        <v>8</v>
      </c>
      <c r="E13" s="58"/>
      <c r="F13" s="58"/>
      <c r="G13" s="58"/>
      <c r="H13" s="59"/>
    </row>
    <row r="14" spans="1:11" ht="57.9" customHeight="1" thickBot="1">
      <c r="B14" s="23"/>
      <c r="C14" s="20"/>
      <c r="D14" s="55"/>
      <c r="E14" s="56"/>
      <c r="F14" s="56"/>
      <c r="G14" s="56"/>
      <c r="H14" s="57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pageSetup paperSize="9" scale="36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"/>
  <sheetViews>
    <sheetView workbookViewId="0">
      <selection activeCell="D14" sqref="D14"/>
    </sheetView>
  </sheetViews>
  <sheetFormatPr baseColWidth="10" defaultColWidth="8.69921875" defaultRowHeight="13.8"/>
  <cols>
    <col min="1" max="1" width="10.3984375" style="4" customWidth="1"/>
    <col min="2" max="2" width="9.59765625" style="4" customWidth="1"/>
    <col min="3" max="3" width="9.69921875" style="4" customWidth="1"/>
    <col min="4" max="10" width="8.69921875" style="4"/>
    <col min="11" max="11" width="39.5" style="4" customWidth="1"/>
    <col min="12" max="16384" width="8.69921875" style="4"/>
  </cols>
  <sheetData>
    <row r="1" spans="1:6">
      <c r="A1" s="4" t="s">
        <v>7</v>
      </c>
      <c r="B1" s="17"/>
    </row>
    <row r="2" spans="1:6">
      <c r="A2" s="17">
        <v>2010</v>
      </c>
      <c r="B2" s="17"/>
    </row>
    <row r="3" spans="1:6">
      <c r="A3" s="17">
        <v>2011</v>
      </c>
      <c r="B3" s="17"/>
    </row>
    <row r="4" spans="1:6">
      <c r="A4" s="17">
        <v>2012</v>
      </c>
      <c r="B4" s="17"/>
    </row>
    <row r="5" spans="1:6">
      <c r="A5" s="17">
        <v>2013</v>
      </c>
      <c r="B5" s="17"/>
    </row>
    <row r="6" spans="1:6">
      <c r="A6" s="17">
        <v>2014</v>
      </c>
      <c r="B6" s="17"/>
    </row>
    <row r="7" spans="1:6">
      <c r="A7" s="17">
        <v>2015</v>
      </c>
      <c r="B7" s="17"/>
    </row>
    <row r="8" spans="1:6">
      <c r="A8" s="17">
        <v>2016</v>
      </c>
      <c r="B8" s="17"/>
    </row>
    <row r="9" spans="1:6">
      <c r="A9" s="17">
        <v>2017</v>
      </c>
      <c r="B9" s="17"/>
    </row>
    <row r="10" spans="1:6">
      <c r="A10" s="17">
        <v>2018</v>
      </c>
      <c r="B10" s="17"/>
    </row>
    <row r="11" spans="1:6">
      <c r="A11" s="17">
        <v>2019</v>
      </c>
      <c r="B11" s="17"/>
    </row>
    <row r="12" spans="1:6">
      <c r="A12" s="17">
        <v>2020</v>
      </c>
      <c r="B12" s="17"/>
    </row>
    <row r="13" spans="1:6">
      <c r="A13" s="17"/>
    </row>
    <row r="14" spans="1:6">
      <c r="A14" s="17"/>
    </row>
    <row r="15" spans="1:6">
      <c r="A15" s="17"/>
    </row>
    <row r="16" spans="1:6">
      <c r="A16" s="17"/>
    </row>
    <row r="17" spans="1:1">
      <c r="A17" s="17"/>
    </row>
    <row r="18" spans="1:1">
      <c r="A18" s="17"/>
    </row>
  </sheetData>
  <phoneticPr fontId="1" type="noConversion"/>
  <pageMargins left="0.7" right="0.7" top="0.75" bottom="0.75" header="0.3" footer="0.3"/>
  <legacy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4"/>
  <sheetViews>
    <sheetView showGridLines="0" topLeftCell="B7" workbookViewId="0">
      <selection activeCell="E12" sqref="E12"/>
    </sheetView>
  </sheetViews>
  <sheetFormatPr baseColWidth="10" defaultColWidth="8.69921875" defaultRowHeight="13.8"/>
  <cols>
    <col min="1" max="1" width="2.3984375" style="1" customWidth="1"/>
    <col min="2" max="2" width="17.59765625" style="4" customWidth="1"/>
    <col min="3" max="4" width="30.5" style="4" customWidth="1"/>
    <col min="5" max="5" width="33" style="4" customWidth="1"/>
    <col min="6" max="7" width="30.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>
      <c r="B1" s="54">
        <f>DATE(CalendarYear,2,1)</f>
        <v>43862</v>
      </c>
      <c r="C1" s="54"/>
      <c r="D1" s="54"/>
      <c r="E1" s="54"/>
      <c r="F1" s="54"/>
      <c r="G1" s="54"/>
      <c r="H1" s="54"/>
      <c r="J1" s="7"/>
      <c r="K1" s="8"/>
    </row>
    <row r="2" spans="1:11" s="3" customFormat="1" ht="21.75" customHeight="1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>
      <c r="B3" s="9" t="str">
        <f>IF(AND(YEAR(FebSun1)=CalendarYear,MONTH(FebSun1)=2),FebSun1, "")</f>
        <v/>
      </c>
      <c r="C3" s="5" t="str">
        <f>IF(AND(YEAR(FebSun1+1)=CalendarYear,MONTH(FebSun1+1)=2),FebSun1+1, "")</f>
        <v/>
      </c>
      <c r="D3" s="5" t="str">
        <f>IF(AND(YEAR(FebSun1+2)=CalendarYear,MONTH(FebSun1+2)=2),FebSun1+2, "")</f>
        <v/>
      </c>
      <c r="E3" s="5" t="str">
        <f>IF(AND(YEAR(FebSun1+3)=CalendarYear,MONTH(FebSun1+3)=2),FebSun1+3, "")</f>
        <v/>
      </c>
      <c r="F3" s="5" t="str">
        <f>IF(AND(YEAR(FebSun1+4)=CalendarYear,MONTH(FebSun1+4)=2),FebSun1+4, "")</f>
        <v/>
      </c>
      <c r="G3" s="5" t="str">
        <f>IF(AND(YEAR(FebSun1+5)=CalendarYear,MONTH(FebSun1+5)=2),FebSun1+5, "")</f>
        <v/>
      </c>
      <c r="H3" s="10">
        <f>IF(AND(YEAR(FebSun1+6)=CalendarYear,MONTH(FebSun1+6)=2),FebSun1+6, "")</f>
        <v>43862</v>
      </c>
    </row>
    <row r="4" spans="1:11" ht="90" customHeight="1">
      <c r="B4" s="21"/>
      <c r="D4" s="24"/>
      <c r="E4" s="19"/>
      <c r="F4" s="19"/>
      <c r="G4" s="26"/>
      <c r="H4" s="22"/>
    </row>
    <row r="5" spans="1:11" ht="14.1" customHeight="1">
      <c r="B5" s="11">
        <f>IF(AND(YEAR(FebSun1+7)=CalendarYear,MONTH(FebSun1+7)=2),FebSun1+7, "")</f>
        <v>43863</v>
      </c>
      <c r="C5" s="5">
        <f>IF(AND(YEAR(FebSun1+8)=CalendarYear,MONTH(FebSun1+8)=2),FebSun1+8, "")</f>
        <v>43864</v>
      </c>
      <c r="D5" s="5">
        <f>IF(AND(YEAR(FebSun1+9)=CalendarYear,MONTH(FebSun1+9)=2),FebSun1+9, "")</f>
        <v>43865</v>
      </c>
      <c r="E5" s="5">
        <f>IF(AND(YEAR(FebSun1+10)=CalendarYear,MONTH(FebSun1+10)=2),FebSun1+10, "")</f>
        <v>43866</v>
      </c>
      <c r="F5" s="5">
        <f>IF(AND(YEAR(FebSun1+11)=CalendarYear,MONTH(FebSun1+11)=2),FebSun1+11, "")</f>
        <v>43867</v>
      </c>
      <c r="G5" s="5">
        <f>IF(AND(YEAR(FebSun1+12)=CalendarYear,MONTH(FebSun1+12)=2),FebSun1+12,"")</f>
        <v>43868</v>
      </c>
      <c r="H5" s="10">
        <f>IF(AND(YEAR(FebSun1+13)=CalendarYear,MONTH(FebSun1+13)=2),FebSun1+13, "")</f>
        <v>43869</v>
      </c>
    </row>
    <row r="6" spans="1:11" ht="90" customHeight="1">
      <c r="B6" s="21"/>
      <c r="C6" s="34" t="s">
        <v>30</v>
      </c>
      <c r="D6" s="29" t="s">
        <v>31</v>
      </c>
      <c r="E6" s="35" t="s">
        <v>33</v>
      </c>
      <c r="F6" s="29" t="s">
        <v>32</v>
      </c>
      <c r="G6" s="29" t="s">
        <v>34</v>
      </c>
      <c r="H6" s="22"/>
    </row>
    <row r="7" spans="1:11" ht="14.1" customHeight="1">
      <c r="B7" s="11">
        <f>IF(AND(YEAR(FebSun1+14)=CalendarYear,MONTH(FebSun1+14)=2),FebSun1+14, "")</f>
        <v>43870</v>
      </c>
      <c r="C7" s="5">
        <f>IF(AND(YEAR(FebSun1+15)=CalendarYear,MONTH(FebSun1+15)=2),FebSun1+15, "")</f>
        <v>43871</v>
      </c>
      <c r="D7" s="5">
        <v>11</v>
      </c>
      <c r="E7" s="5">
        <f>IF(AND(YEAR(FebSun1+17)=CalendarYear,MONTH(FebSun1+17)=2),FebSun1+17, "")</f>
        <v>43873</v>
      </c>
      <c r="F7" s="5">
        <f>IF(AND(YEAR(FebSun1+18)=CalendarYear,MONTH(FebSun1+18)=2),FebSun1+18, "")</f>
        <v>43874</v>
      </c>
      <c r="G7" s="5">
        <f>IF(AND(YEAR(FebSun1+19)=CalendarYear,MONTH(FebSun1+19)=2),FebSun1+19, "")</f>
        <v>43875</v>
      </c>
      <c r="H7" s="10">
        <f>IF(AND(YEAR(FebSun1+20)=CalendarYear,MONTH(FebSun1+20)=2),FebSun1+20, "")</f>
        <v>43876</v>
      </c>
    </row>
    <row r="8" spans="1:11" ht="118.8">
      <c r="B8" s="21"/>
      <c r="C8" s="24" t="s">
        <v>35</v>
      </c>
      <c r="D8" s="35" t="s">
        <v>37</v>
      </c>
      <c r="E8" s="26" t="s">
        <v>36</v>
      </c>
      <c r="F8" s="26" t="s">
        <v>38</v>
      </c>
      <c r="G8" s="26" t="s">
        <v>41</v>
      </c>
      <c r="H8" s="22"/>
    </row>
    <row r="9" spans="1:11" ht="14.1" customHeight="1">
      <c r="B9" s="11"/>
      <c r="C9" s="6">
        <f>IF(AND(YEAR(FebSun1+22)=CalendarYear,MONTH(FebSun1+22)=2),FebSun1+22, "")</f>
        <v>43878</v>
      </c>
      <c r="D9" s="6">
        <f>IF(AND(YEAR(FebSun1+23)=CalendarYear,MONTH(FebSun1+23)=2),FebSun1+23, "")</f>
        <v>43879</v>
      </c>
      <c r="E9" s="6">
        <f>IF(AND(YEAR(FebSun1+24)=CalendarYear,MONTH(FebSun1+24)=2),FebSun1+24, "")</f>
        <v>43880</v>
      </c>
      <c r="F9" s="6">
        <f>IF(AND(YEAR(FebSun1+25)=CalendarYear,MONTH(FebSun1+25)=2),FebSun1+25, "")</f>
        <v>43881</v>
      </c>
      <c r="G9" s="6">
        <f>IF(AND(YEAR(FebSun1+26)=CalendarYear,MONTH(FebSun1+26)=2),FebSun1+26, "")</f>
        <v>43882</v>
      </c>
      <c r="H9" s="13">
        <f>IF(AND(YEAR(FebSun1+27)=CalendarYear,MONTH(FebSun1+27)=2),FebSun1+27, "")</f>
        <v>43883</v>
      </c>
    </row>
    <row r="10" spans="1:11" ht="145.19999999999999">
      <c r="B10" s="21"/>
      <c r="C10" s="24" t="s">
        <v>40</v>
      </c>
      <c r="D10" s="28" t="s">
        <v>39</v>
      </c>
      <c r="E10" s="19" t="s">
        <v>42</v>
      </c>
      <c r="F10" s="26" t="s">
        <v>44</v>
      </c>
      <c r="G10" s="37" t="s">
        <v>45</v>
      </c>
      <c r="H10" s="22"/>
    </row>
    <row r="11" spans="1:11" ht="14.1" customHeight="1">
      <c r="B11" s="12">
        <f>IF(AND(YEAR(FebSun1+28)=CalendarYear,MONTH(FebSun1+28)=2),FebSun1+28, "")</f>
        <v>43884</v>
      </c>
      <c r="C11" s="6">
        <f>IF(AND(YEAR(FebSun1+29)=CalendarYear,MONTH(FebSun1+29)=2),FebSun1+29, "")</f>
        <v>43885</v>
      </c>
      <c r="D11" s="6">
        <f>IF(AND(YEAR(FebSun1+30)=CalendarYear,MONTH(FebSun1+30)=2),FebSun1+30, "")</f>
        <v>43886</v>
      </c>
      <c r="E11" s="6">
        <f>IF(AND(YEAR(FebSun1+31)=CalendarYear,MONTH(FebSun1+31)=2),FebSun1+31, "")</f>
        <v>43887</v>
      </c>
      <c r="F11" s="6">
        <f>IF(AND(YEAR(FebSun1+32)=CalendarYear,MONTH(FebSun1+32)=2),FebSun1+32, "")</f>
        <v>43888</v>
      </c>
      <c r="G11" s="6">
        <f>IF(AND(YEAR(FebSun1+33)=CalendarYear,MONTH(FebSun1+33)=2),FebSun1+33, "")</f>
        <v>43889</v>
      </c>
      <c r="H11" s="13">
        <f>IF(AND(YEAR(FebSun1+34)=CalendarYear,MONTH(FebSun1+34)=2),FebSun1+34, "")</f>
        <v>43890</v>
      </c>
    </row>
    <row r="12" spans="1:11" ht="103.5" customHeight="1">
      <c r="B12" s="21"/>
      <c r="C12" s="24" t="s">
        <v>46</v>
      </c>
      <c r="D12" s="24" t="s">
        <v>47</v>
      </c>
      <c r="E12" s="26" t="s">
        <v>48</v>
      </c>
      <c r="F12" s="26" t="s">
        <v>49</v>
      </c>
      <c r="G12" s="26" t="s">
        <v>50</v>
      </c>
      <c r="H12" s="22"/>
    </row>
    <row r="13" spans="1:11" ht="14.1" customHeight="1">
      <c r="B13" s="12" t="s">
        <v>8</v>
      </c>
      <c r="C13" s="6"/>
      <c r="D13" s="58"/>
      <c r="E13" s="58"/>
      <c r="F13" s="58"/>
      <c r="G13" s="58"/>
      <c r="H13" s="59"/>
    </row>
    <row r="14" spans="1:11" ht="57" customHeight="1" thickBot="1">
      <c r="B14" s="23"/>
      <c r="C14" s="20" t="s">
        <v>43</v>
      </c>
      <c r="D14" s="55"/>
      <c r="E14" s="56"/>
      <c r="F14" s="56"/>
      <c r="G14" s="56"/>
      <c r="H14" s="57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4"/>
  <sheetViews>
    <sheetView showGridLines="0" topLeftCell="D1" workbookViewId="0">
      <selection activeCell="D10" sqref="D10"/>
    </sheetView>
  </sheetViews>
  <sheetFormatPr baseColWidth="10" defaultColWidth="8.69921875" defaultRowHeight="13.8"/>
  <cols>
    <col min="1" max="1" width="2.3984375" style="1" customWidth="1"/>
    <col min="2" max="2" width="17.59765625" style="4" customWidth="1"/>
    <col min="3" max="7" width="30.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>
      <c r="B1" s="54">
        <f>DATE(CalendarYear,3,1)</f>
        <v>43891</v>
      </c>
      <c r="C1" s="54"/>
      <c r="D1" s="54"/>
      <c r="E1" s="54"/>
      <c r="F1" s="54"/>
      <c r="G1" s="54"/>
      <c r="H1" s="54"/>
      <c r="J1" s="7"/>
      <c r="K1" s="8"/>
    </row>
    <row r="2" spans="1:11" s="3" customFormat="1" ht="21.75" customHeight="1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>
      <c r="B3" s="9">
        <f>IF(AND(YEAR(MarSun1)=CalendarYear,MONTH(MarSun1)=3),MarSun1, "")</f>
        <v>43891</v>
      </c>
      <c r="C3" s="5">
        <f>IF(AND(YEAR(MarSun1+1)=CalendarYear,MONTH(MarSun1+1)=3),MarSun1+1, "")</f>
        <v>43892</v>
      </c>
      <c r="D3" s="5">
        <f>IF(AND(YEAR(MarSun1+2)=CalendarYear,MONTH(MarSun1+2)=3),MarSun1+2, "")</f>
        <v>43893</v>
      </c>
      <c r="E3" s="5">
        <f>IF(AND(YEAR(MarSun1+3)=CalendarYear,MONTH(MarSun1+3)=3),MarSun1+3, "")</f>
        <v>43894</v>
      </c>
      <c r="F3" s="5">
        <f>IF(AND(YEAR(MarSun1+4)=CalendarYear,MONTH(MarSun1+4)=3),MarSun1+4, "")</f>
        <v>43895</v>
      </c>
      <c r="G3" s="5">
        <f>IF(AND(YEAR(MarSun1+5)=CalendarYear,MONTH(MarSun1+5)=3),MarSun1+5, "")</f>
        <v>43896</v>
      </c>
      <c r="H3" s="10">
        <f>IF(AND(YEAR(MarSun1+6)=CalendarYear,MONTH(MarSun1+6)=3),MarSun1+6, "")</f>
        <v>43897</v>
      </c>
    </row>
    <row r="4" spans="1:11" ht="150.75" customHeight="1">
      <c r="B4" s="21"/>
      <c r="C4" s="24" t="s">
        <v>51</v>
      </c>
      <c r="D4" s="24" t="s">
        <v>52</v>
      </c>
      <c r="E4" s="26" t="s">
        <v>53</v>
      </c>
      <c r="F4" s="36" t="s">
        <v>54</v>
      </c>
      <c r="G4" s="26" t="s">
        <v>56</v>
      </c>
      <c r="H4" s="22"/>
    </row>
    <row r="5" spans="1:11" ht="14.25" customHeight="1">
      <c r="B5" s="11">
        <f>IF(AND(YEAR(MarSun1+7)=CalendarYear,MONTH(MarSun1+7)=3),MarSun1+7, "")</f>
        <v>43898</v>
      </c>
      <c r="C5" s="5">
        <f>IF(AND(YEAR(MarSun1+8)=CalendarYear,MONTH(MarSun1+8)=3),MarSun1+8, "")</f>
        <v>43899</v>
      </c>
      <c r="D5" s="5"/>
      <c r="E5" s="5">
        <f>IF(AND(YEAR(MarSun1+10)=CalendarYear,MONTH(MarSun1+10)=3),MarSun1+10, "")</f>
        <v>43901</v>
      </c>
      <c r="F5" s="5">
        <f>IF(AND(YEAR(MarSun1+11)=CalendarYear,MONTH(MarSun1+11)=3),MarSun1+11, "")</f>
        <v>43902</v>
      </c>
      <c r="G5" s="5">
        <f>IF(AND(YEAR(MarSun1+12)=CalendarYear,MONTH(MarSun1+12)=3),MarSun1+12,"")</f>
        <v>43903</v>
      </c>
      <c r="H5" s="10">
        <f>IF(AND(YEAR(MarSun1+13)=CalendarYear,MONTH(MarSun1+13)=3),MarSun1+13, "")</f>
        <v>43904</v>
      </c>
    </row>
    <row r="6" spans="1:11" ht="150.75" customHeight="1">
      <c r="B6" s="21"/>
      <c r="C6" s="24" t="s">
        <v>55</v>
      </c>
      <c r="D6" s="29" t="s">
        <v>57</v>
      </c>
      <c r="E6" s="26" t="s">
        <v>58</v>
      </c>
      <c r="G6" s="29" t="s">
        <v>59</v>
      </c>
      <c r="H6" s="22"/>
    </row>
    <row r="7" spans="1:11" ht="14.1" customHeight="1">
      <c r="B7" s="11">
        <f>IF(AND(YEAR(MarSun1+14)=CalendarYear,MONTH(MarSun1+14)=3),MarSun1+14, "")</f>
        <v>43905</v>
      </c>
      <c r="C7" s="5">
        <f>IF(AND(YEAR(MarSun1+15)=CalendarYear,MONTH(MarSun1+15)=3),MarSun1+15, "")</f>
        <v>43906</v>
      </c>
      <c r="D7" s="5">
        <f>IF(AND(YEAR(MarSun1+16)=CalendarYear,MONTH(MarSun1+16)=3),MarSun1+16, "")</f>
        <v>43907</v>
      </c>
      <c r="E7" s="5">
        <f>IF(AND(YEAR(MarSun1+17)=CalendarYear,MONTH(MarSun1+17)=3),MarSun1+17, "")</f>
        <v>43908</v>
      </c>
      <c r="F7" s="5">
        <f>IF(AND(YEAR(MarSun1+18)=CalendarYear,MONTH(MarSun1+18)=3),MarSun1+18, "")</f>
        <v>43909</v>
      </c>
      <c r="G7" s="5">
        <f>IF(AND(YEAR(MarSun1+19)=CalendarYear,MONTH(MarSun1+19)=3),MarSun1+19, "")</f>
        <v>43910</v>
      </c>
      <c r="H7" s="10">
        <f>IF(AND(YEAR(MarSun1+20)=CalendarYear,MONTH(MarSun1+20)=3),MarSun1+20, "")</f>
        <v>43911</v>
      </c>
    </row>
    <row r="8" spans="1:11" ht="106.5" customHeight="1">
      <c r="B8" s="21"/>
      <c r="C8" s="27" t="s">
        <v>60</v>
      </c>
      <c r="D8" s="19"/>
      <c r="E8" s="19" t="s">
        <v>62</v>
      </c>
      <c r="F8" s="26" t="s">
        <v>63</v>
      </c>
      <c r="G8" s="26" t="s">
        <v>64</v>
      </c>
      <c r="H8" s="22"/>
    </row>
    <row r="9" spans="1:11" ht="15.75" customHeight="1">
      <c r="B9" s="12">
        <f>IF(AND(YEAR(MarSun1+21)=CalendarYear,MONTH(MarSun1+21)=3),MarSun1+21, "")</f>
        <v>43912</v>
      </c>
      <c r="C9" s="6">
        <f>IF(AND(YEAR(MarSun1+22)=CalendarYear,MONTH(MarSun1+22)=3),MarSun1+22, "")</f>
        <v>43913</v>
      </c>
      <c r="D9" s="6">
        <f>IF(AND(YEAR(MarSun1+23)=CalendarYear,MONTH(MarSun1+23)=3),MarSun1+23, "")</f>
        <v>43914</v>
      </c>
      <c r="E9" s="6">
        <f>IF(AND(YEAR(MarSun1+24)=CalendarYear,MONTH(MarSun1+24)=3),MarSun1+24, "")</f>
        <v>43915</v>
      </c>
      <c r="F9" s="6">
        <f>IF(AND(YEAR(MarSun1+25)=CalendarYear,MONTH(MarSun1+25)=3),MarSun1+25, "")</f>
        <v>43916</v>
      </c>
      <c r="G9" s="6">
        <f>IF(AND(YEAR(MarSun1+26)=CalendarYear,MONTH(MarSun1+26)=3),MarSun1+26, "")</f>
        <v>43917</v>
      </c>
      <c r="H9" s="13">
        <f>IF(AND(YEAR(MarSun1+27)=CalendarYear,MONTH(MarSun1+27)=3),MarSun1+27, "")</f>
        <v>43918</v>
      </c>
    </row>
    <row r="10" spans="1:11" ht="110.25" customHeight="1">
      <c r="B10" s="21"/>
      <c r="C10" s="38" t="s">
        <v>61</v>
      </c>
      <c r="D10" s="28" t="s">
        <v>65</v>
      </c>
      <c r="E10" s="26" t="s">
        <v>67</v>
      </c>
      <c r="F10" s="29" t="s">
        <v>68</v>
      </c>
      <c r="G10" s="26" t="s">
        <v>66</v>
      </c>
      <c r="H10" s="22"/>
    </row>
    <row r="11" spans="1:11" ht="21.75" customHeight="1">
      <c r="B11" s="12">
        <f>IF(AND(YEAR(MarSun1+28)=CalendarYear,MONTH(MarSun1+28)=3),MarSun1+28, "")</f>
        <v>43919</v>
      </c>
      <c r="C11" s="6">
        <f>IF(AND(YEAR(MarSun1+29)=CalendarYear,MONTH(MarSun1+29)=3),MarSun1+29, "")</f>
        <v>43920</v>
      </c>
      <c r="D11" s="6">
        <f>IF(AND(YEAR(MarSun1+30)=CalendarYear,MONTH(MarSun1+30)=3),MarSun1+30, "")</f>
        <v>43921</v>
      </c>
      <c r="E11" s="6" t="str">
        <f>IF(AND(YEAR(MarSun1+31)=CalendarYear,MONTH(MarSun1+31)=3),MarSun1+31, "")</f>
        <v/>
      </c>
      <c r="F11" s="6" t="str">
        <f>IF(AND(YEAR(MarSun1+32)=CalendarYear,MONTH(MarSun1+32)=3),MarSun1+32, "")</f>
        <v/>
      </c>
      <c r="G11" s="6" t="str">
        <f>IF(AND(YEAR(MarSun1+33)=CalendarYear,MONTH(MarSun1+33)=3),MarSun1+33, "")</f>
        <v/>
      </c>
      <c r="H11" s="13" t="str">
        <f>IF(AND(YEAR(MarSun1+34)=CalendarYear,MONTH(MarSun1+34)=3),MarSun1+34, "")</f>
        <v/>
      </c>
    </row>
    <row r="12" spans="1:11" ht="102.75" customHeight="1">
      <c r="B12" s="21"/>
      <c r="C12" s="24"/>
      <c r="D12" s="26" t="s">
        <v>69</v>
      </c>
      <c r="E12" s="19"/>
      <c r="F12" s="28"/>
      <c r="G12" s="26"/>
      <c r="H12" s="22"/>
    </row>
    <row r="13" spans="1:11" ht="14.1" customHeight="1">
      <c r="B13" s="12" t="str">
        <f>IF(AND(YEAR(MarSun1+35)=CalendarYear,MONTH(MarSun1+35)=3),MarSun1+35, "")</f>
        <v/>
      </c>
      <c r="C13" s="6" t="str">
        <f>IF(AND(YEAR(MarSun1+36)=CalendarYear,MONTH(MarSun1+36)=3),MarSun1+36, "")</f>
        <v/>
      </c>
      <c r="D13" s="58" t="s">
        <v>8</v>
      </c>
      <c r="E13" s="58"/>
      <c r="F13" s="58"/>
      <c r="G13" s="58"/>
      <c r="H13" s="59"/>
    </row>
    <row r="14" spans="1:11" ht="57.9" customHeight="1" thickBot="1">
      <c r="B14" s="23"/>
      <c r="C14" s="20"/>
      <c r="D14" s="55"/>
      <c r="E14" s="56"/>
      <c r="F14" s="56"/>
      <c r="G14" s="56"/>
      <c r="H14" s="57"/>
    </row>
  </sheetData>
  <mergeCells count="3">
    <mergeCell ref="B1:H1"/>
    <mergeCell ref="D14:H14"/>
    <mergeCell ref="D13:H13"/>
  </mergeCells>
  <phoneticPr fontId="1" type="noConversion"/>
  <printOptions horizontalCentered="1"/>
  <pageMargins left="0.5" right="0.5" top="0.75" bottom="0.75" header="0.5" footer="0.5"/>
  <pageSetup paperSize="9" scale="36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4"/>
  <sheetViews>
    <sheetView showGridLines="0" topLeftCell="A4" workbookViewId="0">
      <selection activeCell="D6" sqref="D6"/>
    </sheetView>
  </sheetViews>
  <sheetFormatPr baseColWidth="10" defaultColWidth="8.69921875" defaultRowHeight="13.8"/>
  <cols>
    <col min="1" max="1" width="2.3984375" style="1" customWidth="1"/>
    <col min="2" max="2" width="17.59765625" style="4" customWidth="1"/>
    <col min="3" max="7" width="30.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>
      <c r="B1" s="54">
        <f>DATE(CalendarYear,4,1)</f>
        <v>43922</v>
      </c>
      <c r="C1" s="54"/>
      <c r="D1" s="54"/>
      <c r="E1" s="54"/>
      <c r="F1" s="54"/>
      <c r="G1" s="54"/>
      <c r="H1" s="54"/>
      <c r="J1" s="7"/>
      <c r="K1" s="8"/>
    </row>
    <row r="2" spans="1:11" s="3" customFormat="1" ht="21.75" customHeight="1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1.25" customHeight="1">
      <c r="B3" s="9" t="str">
        <f>IF(AND(YEAR(AprSun1)=CalendarYear,MONTH(AprSun1)=4),AprSun1, "")</f>
        <v/>
      </c>
      <c r="C3" s="5" t="str">
        <f>IF(AND(YEAR(AprSun1+1)=CalendarYear,MONTH(AprSun1+1)=4),AprSun1+1, "")</f>
        <v/>
      </c>
      <c r="D3" s="5" t="str">
        <f>IF(AND(YEAR(AprSun1+2)=CalendarYear,MONTH(AprSun1+2)=4),AprSun1+2, "")</f>
        <v/>
      </c>
      <c r="E3" s="5">
        <f>IF(AND(YEAR(AprSun1+3)=CalendarYear,MONTH(AprSun1+3)=4),AprSun1+3, "")</f>
        <v>43922</v>
      </c>
      <c r="F3" s="5">
        <f>IF(AND(YEAR(AprSun1+4)=CalendarYear,MONTH(AprSun1+4)=4),AprSun1+4, "")</f>
        <v>43923</v>
      </c>
      <c r="G3" s="5">
        <f>IF(AND(YEAR(AprSun1+5)=CalendarYear,MONTH(AprSun1+5)=4),AprSun1+5, "")</f>
        <v>43924</v>
      </c>
      <c r="H3" s="10">
        <f>IF(AND(YEAR(AprSun1+6)=CalendarYear,MONTH(AprSun1+6)=4),AprSun1+6, "")</f>
        <v>43925</v>
      </c>
    </row>
    <row r="4" spans="1:11" ht="126" customHeight="1">
      <c r="B4" s="21"/>
      <c r="C4" s="18"/>
      <c r="D4" s="26"/>
      <c r="E4" s="26" t="s">
        <v>70</v>
      </c>
      <c r="F4" s="26" t="s">
        <v>71</v>
      </c>
      <c r="G4" s="28" t="s">
        <v>72</v>
      </c>
      <c r="H4" s="22"/>
    </row>
    <row r="5" spans="1:11" ht="24.75" customHeight="1">
      <c r="B5" s="11">
        <f>IF(AND(YEAR(AprSun1+7)=CalendarYear,MONTH(AprSun1+7)=4),AprSun1+7, "")</f>
        <v>43926</v>
      </c>
      <c r="C5" s="5">
        <f>IF(AND(YEAR(AprSun1+8)=CalendarYear,MONTH(AprSun1+8)=4),AprSun1+8, "")</f>
        <v>43927</v>
      </c>
      <c r="D5" s="5">
        <f>IF(AND(YEAR(AprSun1+9)=CalendarYear,MONTH(AprSun1+9)=4),AprSun1+9, "")</f>
        <v>43928</v>
      </c>
      <c r="E5" s="5">
        <f>IF(AND(YEAR(AprSun1+10)=CalendarYear,MONTH(AprSun1+10)=4),AprSun1+10, "")</f>
        <v>43929</v>
      </c>
      <c r="F5" s="5">
        <f>IF(AND(YEAR(AprSun1+11)=CalendarYear,MONTH(AprSun1+11)=4),AprSun1+11, "")</f>
        <v>43930</v>
      </c>
      <c r="G5" s="5">
        <f>IF(AND(YEAR(AprSun1+12)=CalendarYear,MONTH(AprSun1+12)=4),AprSun1+12,"")</f>
        <v>43931</v>
      </c>
      <c r="H5" s="10">
        <f>IF(AND(YEAR(AprSun1+13)=CalendarYear,MONTH(AprSun1+13)=4),AprSun1+13, "")</f>
        <v>43932</v>
      </c>
    </row>
    <row r="6" spans="1:11" ht="186.75" customHeight="1">
      <c r="B6" s="21"/>
      <c r="C6" s="26" t="s">
        <v>74</v>
      </c>
      <c r="D6" s="26" t="s">
        <v>83</v>
      </c>
      <c r="E6" s="26" t="s">
        <v>75</v>
      </c>
      <c r="F6" s="26" t="s">
        <v>76</v>
      </c>
      <c r="G6" s="26" t="s">
        <v>73</v>
      </c>
      <c r="H6" s="22"/>
    </row>
    <row r="7" spans="1:11" ht="14.1" customHeight="1">
      <c r="B7" s="11">
        <f>IF(AND(YEAR(AprSun1+14)=CalendarYear,MONTH(AprSun1+14)=4),AprSun1+14, "")</f>
        <v>43933</v>
      </c>
      <c r="C7" s="5">
        <f>IF(AND(YEAR(AprSun1+15)=CalendarYear,MONTH(AprSun1+15)=4),AprSun1+15, "")</f>
        <v>43934</v>
      </c>
      <c r="D7" s="5">
        <f>IF(AND(YEAR(AprSun1+16)=CalendarYear,MONTH(AprSun1+16)=4),AprSun1+16, "")</f>
        <v>43935</v>
      </c>
      <c r="E7" s="5">
        <f>IF(AND(YEAR(AprSun1+17)=CalendarYear,MONTH(AprSun1+17)=4),AprSun1+17, "")</f>
        <v>43936</v>
      </c>
      <c r="F7" s="5">
        <f>IF(AND(YEAR(AprSun1+18)=CalendarYear,MONTH(AprSun1+18)=4),AprSun1+18, "")</f>
        <v>43937</v>
      </c>
      <c r="G7" s="5">
        <f>IF(AND(YEAR(AprSun1+19)=CalendarYear,MONTH(AprSun1+19)=4),AprSun1+19, "")</f>
        <v>43938</v>
      </c>
      <c r="H7" s="10">
        <f>IF(AND(YEAR(AprSun1+20)=CalendarYear,MONTH(AprSun1+20)=4),AprSun1+20, "")</f>
        <v>43939</v>
      </c>
    </row>
    <row r="8" spans="1:11" ht="126.75" customHeight="1">
      <c r="B8" s="21"/>
      <c r="C8" s="26" t="s">
        <v>73</v>
      </c>
      <c r="D8" s="40" t="s">
        <v>79</v>
      </c>
      <c r="E8" s="26" t="s">
        <v>77</v>
      </c>
      <c r="F8" s="29" t="s">
        <v>80</v>
      </c>
      <c r="G8" s="39" t="s">
        <v>81</v>
      </c>
      <c r="H8" s="22"/>
    </row>
    <row r="9" spans="1:11" ht="14.1" customHeight="1">
      <c r="B9" s="12">
        <f>IF(AND(YEAR(AprSun1+21)=CalendarYear,MONTH(AprSun1+21)=4),AprSun1+21, "")</f>
        <v>43940</v>
      </c>
      <c r="C9" s="6">
        <f>IF(AND(YEAR(AprSun1+22)=CalendarYear,MONTH(AprSun1+22)=4),AprSun1+22, "")</f>
        <v>43941</v>
      </c>
      <c r="D9" s="6">
        <f>IF(AND(YEAR(AprSun1+23)=CalendarYear,MONTH(AprSun1+23)=4),AprSun1+23, "")</f>
        <v>43942</v>
      </c>
      <c r="E9" s="6">
        <f>IF(AND(YEAR(AprSun1+24)=CalendarYear,MONTH(AprSun1+24)=4),AprSun1+24, "")</f>
        <v>43943</v>
      </c>
      <c r="F9" s="6">
        <f>IF(AND(YEAR(AprSun1+25)=CalendarYear,MONTH(AprSun1+25)=4),AprSun1+25, "")</f>
        <v>43944</v>
      </c>
      <c r="G9" s="6">
        <f>IF(AND(YEAR(AprSun1+26)=CalendarYear,MONTH(AprSun1+26)=4),AprSun1+26, "")</f>
        <v>43945</v>
      </c>
      <c r="H9" s="13">
        <f>IF(AND(YEAR(AprSun1+27)=CalendarYear,MONTH(AprSun1+27)=4),AprSun1+27, "")</f>
        <v>43946</v>
      </c>
    </row>
    <row r="10" spans="1:11" ht="150.75" customHeight="1">
      <c r="B10" s="21"/>
      <c r="C10" s="39" t="s">
        <v>82</v>
      </c>
      <c r="D10" s="32" t="s">
        <v>84</v>
      </c>
      <c r="E10" s="39" t="s">
        <v>85</v>
      </c>
      <c r="F10" s="32" t="s">
        <v>86</v>
      </c>
      <c r="G10" s="39" t="s">
        <v>87</v>
      </c>
      <c r="H10" s="22"/>
    </row>
    <row r="11" spans="1:11" ht="14.1" customHeight="1">
      <c r="B11" s="12">
        <f>IF(AND(YEAR(AprSun1+28)=CalendarYear,MONTH(AprSun1+28)=4),AprSun1+28, "")</f>
        <v>43947</v>
      </c>
      <c r="C11" s="6">
        <f>IF(AND(YEAR(AprSun1+29)=CalendarYear,MONTH(AprSun1+29)=4),AprSun1+29, "")</f>
        <v>43948</v>
      </c>
      <c r="D11" s="6">
        <f>IF(AND(YEAR(AprSun1+30)=CalendarYear,MONTH(AprSun1+30)=4),AprSun1+30, "")</f>
        <v>43949</v>
      </c>
      <c r="E11" s="6">
        <f>IF(AND(YEAR(AprSun1+31)=CalendarYear,MONTH(AprSun1+31)=4),AprSun1+31, "")</f>
        <v>43950</v>
      </c>
      <c r="F11" s="6">
        <f>IF(AND(YEAR(AprSun1+32)=CalendarYear,MONTH(AprSun1+32)=4),AprSun1+32, "")</f>
        <v>43951</v>
      </c>
      <c r="G11" s="6" t="str">
        <f>IF(AND(YEAR(AprSun1+33)=CalendarYear,MONTH(AprSun1+33)=4),AprSun1+33, "")</f>
        <v/>
      </c>
      <c r="H11" s="13" t="str">
        <f>IF(AND(YEAR(AprSun1+34)=CalendarYear,MONTH(AprSun1+34)=4),AprSun1+34, "")</f>
        <v/>
      </c>
    </row>
    <row r="12" spans="1:11" ht="150" customHeight="1">
      <c r="B12" s="21"/>
      <c r="C12" s="31" t="s">
        <v>88</v>
      </c>
      <c r="D12" s="24" t="s">
        <v>89</v>
      </c>
      <c r="E12" s="24" t="s">
        <v>91</v>
      </c>
      <c r="F12" s="29" t="s">
        <v>90</v>
      </c>
      <c r="G12" s="19"/>
      <c r="H12" s="22"/>
    </row>
    <row r="13" spans="1:11" ht="14.1" customHeight="1">
      <c r="B13" s="12" t="str">
        <f>IF(AND(YEAR(AprSun1+35)=CalendarYear,MONTH(AprSun1+35)=4),AprSun1+35, "")</f>
        <v/>
      </c>
      <c r="C13" s="6" t="s">
        <v>9</v>
      </c>
      <c r="D13" s="58" t="s">
        <v>78</v>
      </c>
      <c r="E13" s="58"/>
      <c r="F13" s="58"/>
      <c r="G13" s="58"/>
      <c r="H13" s="59"/>
    </row>
    <row r="14" spans="1:11" ht="57.9" customHeight="1" thickBot="1">
      <c r="B14" s="23"/>
      <c r="C14" s="20"/>
      <c r="D14" s="55"/>
      <c r="E14" s="56"/>
      <c r="F14" s="56"/>
      <c r="G14" s="56"/>
      <c r="H14" s="57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4"/>
  <sheetViews>
    <sheetView showGridLines="0" topLeftCell="A7" workbookViewId="0">
      <selection activeCell="G12" sqref="G12"/>
    </sheetView>
  </sheetViews>
  <sheetFormatPr baseColWidth="10" defaultColWidth="8.69921875" defaultRowHeight="13.8"/>
  <cols>
    <col min="1" max="1" width="2.3984375" style="1" customWidth="1"/>
    <col min="2" max="2" width="17.59765625" style="4" customWidth="1"/>
    <col min="3" max="7" width="30.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>
      <c r="B1" s="54">
        <f>DATE(CalendarYear,5,1)</f>
        <v>43952</v>
      </c>
      <c r="C1" s="54"/>
      <c r="D1" s="54"/>
      <c r="E1" s="54"/>
      <c r="F1" s="54"/>
      <c r="G1" s="54"/>
      <c r="H1" s="54"/>
      <c r="J1" s="7"/>
      <c r="K1" s="8"/>
    </row>
    <row r="2" spans="1:11" s="3" customFormat="1" ht="21.75" customHeight="1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>
      <c r="B3" s="9" t="str">
        <f>IF(AND(YEAR(MaySun1)=CalendarYear,MONTH(MaySun1)=5),MaySun1, "")</f>
        <v/>
      </c>
      <c r="C3" s="5" t="str">
        <f>IF(AND(YEAR(MaySun1+1)=CalendarYear,MONTH(MaySun1+1)=5),MaySun1+1, "")</f>
        <v/>
      </c>
      <c r="D3" s="5" t="str">
        <f>IF(AND(YEAR(MaySun1+2)=CalendarYear,MONTH(MaySun1+2)=5),MaySun1+2, "")</f>
        <v/>
      </c>
      <c r="E3" s="5" t="str">
        <f>IF(AND(YEAR(MaySun1+3)=CalendarYear,MONTH(MaySun1+3)=5),MaySun1+3, "")</f>
        <v/>
      </c>
      <c r="F3" s="5" t="str">
        <f>IF(AND(YEAR(MaySun1+4)=CalendarYear,MONTH(MaySun1+4)=5),MaySun1+4, "")</f>
        <v/>
      </c>
      <c r="G3" s="5">
        <f>IF(AND(YEAR(MaySun1+5)=CalendarYear,MONTH(MaySun1+5)=5),MaySun1+5, "")</f>
        <v>43952</v>
      </c>
      <c r="H3" s="10">
        <f>IF(AND(YEAR(MaySun1+6)=CalendarYear,MONTH(MaySun1+6)=5),MaySun1+6, "")</f>
        <v>43953</v>
      </c>
    </row>
    <row r="4" spans="1:11" ht="90" customHeight="1">
      <c r="B4" s="21"/>
      <c r="C4" s="24"/>
      <c r="D4" s="26"/>
      <c r="E4" s="26"/>
      <c r="F4" s="26"/>
      <c r="G4" s="26" t="s">
        <v>95</v>
      </c>
      <c r="H4" s="22"/>
    </row>
    <row r="5" spans="1:11" ht="14.1" customHeight="1">
      <c r="B5" s="11">
        <f>IF(AND(YEAR(MaySun1+7)=CalendarYear,MONTH(MaySun1+7)=5),MaySun1+7, "")</f>
        <v>43954</v>
      </c>
      <c r="C5" s="5">
        <f>IF(AND(YEAR(MaySun1+8)=CalendarYear,MONTH(MaySun1+8)=5),MaySun1+8, "")</f>
        <v>43955</v>
      </c>
      <c r="D5" s="5">
        <f>IF(AND(YEAR(MaySun1+9)=CalendarYear,MONTH(MaySun1+9)=5),MaySun1+9, "")</f>
        <v>43956</v>
      </c>
      <c r="E5" s="5">
        <f>IF(AND(YEAR(MaySun1+10)=CalendarYear,MONTH(MaySun1+10)=5),MaySun1+10, "")</f>
        <v>43957</v>
      </c>
      <c r="F5" s="5">
        <f>IF(AND(YEAR(MaySun1+11)=CalendarYear,MONTH(MaySun1+11)=5),MaySun1+11, "")</f>
        <v>43958</v>
      </c>
      <c r="G5" s="5">
        <f>IF(AND(YEAR(MaySun1+12)=CalendarYear,MONTH(MaySun1+12)=5),MaySun1+12,"")</f>
        <v>43959</v>
      </c>
      <c r="H5" s="10">
        <f>IF(AND(YEAR(MaySun1+13)=CalendarYear,MONTH(MaySun1+13)=5),MaySun1+13, "")</f>
        <v>43960</v>
      </c>
    </row>
    <row r="6" spans="1:11" ht="90" customHeight="1">
      <c r="B6" s="21"/>
      <c r="C6" s="24" t="s">
        <v>93</v>
      </c>
      <c r="D6" s="29" t="s">
        <v>92</v>
      </c>
      <c r="E6" s="36" t="s">
        <v>94</v>
      </c>
      <c r="F6" s="26" t="s">
        <v>96</v>
      </c>
      <c r="G6" s="41" t="s">
        <v>97</v>
      </c>
      <c r="H6" s="22"/>
    </row>
    <row r="7" spans="1:11" ht="14.1" customHeight="1">
      <c r="B7" s="11">
        <f>IF(AND(YEAR(MaySun1+14)=CalendarYear,MONTH(MaySun1+14)=5),MaySun1+14, "")</f>
        <v>43961</v>
      </c>
      <c r="C7" s="5">
        <f>IF(AND(YEAR(MaySun1+15)=CalendarYear,MONTH(MaySun1+15)=5),MaySun1+15, "")</f>
        <v>43962</v>
      </c>
      <c r="D7" s="5">
        <f>IF(AND(YEAR(MaySun1+16)=CalendarYear,MONTH(MaySun1+16)=5),MaySun1+16, "")</f>
        <v>43963</v>
      </c>
      <c r="E7" s="5">
        <f>IF(AND(YEAR(MaySun1+17)=CalendarYear,MONTH(MaySun1+17)=5),MaySun1+17, "")</f>
        <v>43964</v>
      </c>
      <c r="F7" s="5">
        <f>IF(AND(YEAR(MaySun1+18)=CalendarYear,MONTH(MaySun1+18)=5),MaySun1+18, "")</f>
        <v>43965</v>
      </c>
      <c r="G7" s="5">
        <f>IF(AND(YEAR(MaySun1+19)=CalendarYear,MONTH(MaySun1+19)=5),MaySun1+19, "")</f>
        <v>43966</v>
      </c>
      <c r="H7" s="10">
        <f>IF(AND(YEAR(MaySun1+20)=CalendarYear,MONTH(MaySun1+20)=5),MaySun1+20, "")</f>
        <v>43967</v>
      </c>
    </row>
    <row r="8" spans="1:11" ht="158.4">
      <c r="B8" s="21"/>
      <c r="C8" s="27" t="s">
        <v>98</v>
      </c>
      <c r="D8" s="41" t="s">
        <v>100</v>
      </c>
      <c r="E8" s="41" t="s">
        <v>101</v>
      </c>
      <c r="F8" s="28" t="s">
        <v>102</v>
      </c>
      <c r="G8" s="28" t="s">
        <v>104</v>
      </c>
      <c r="H8" s="22"/>
    </row>
    <row r="9" spans="1:11">
      <c r="B9" s="12">
        <f>IF(AND(YEAR(MaySun1+21)=CalendarYear,MONTH(MaySun1+21)=5),MaySun1+21, "")</f>
        <v>43968</v>
      </c>
      <c r="C9" s="6">
        <f>IF(AND(YEAR(MaySun1+22)=CalendarYear,MONTH(MaySun1+22)=5),MaySun1+22, "")</f>
        <v>43969</v>
      </c>
      <c r="D9" s="6">
        <f>IF(AND(YEAR(MaySun1+23)=CalendarYear,MONTH(MaySun1+23)=5),MaySun1+23, "")</f>
        <v>43970</v>
      </c>
      <c r="E9" s="6">
        <f>IF(AND(YEAR(MaySun1+24)=CalendarYear,MONTH(MaySun1+24)=5),MaySun1+24, "")</f>
        <v>43971</v>
      </c>
      <c r="F9" s="6">
        <f>IF(AND(YEAR(MaySun1+25)=CalendarYear,MONTH(MaySun1+25)=5),MaySun1+25, "")</f>
        <v>43972</v>
      </c>
      <c r="G9" s="6">
        <f>IF(AND(YEAR(MaySun1+26)=CalendarYear,MONTH(MaySun1+26)=5),MaySun1+26, "")</f>
        <v>43973</v>
      </c>
      <c r="H9" s="13">
        <f>IF(AND(YEAR(MaySun1+27)=CalendarYear,MONTH(MaySun1+27)=5),MaySun1+27, "")</f>
        <v>43974</v>
      </c>
    </row>
    <row r="10" spans="1:11" ht="118.8">
      <c r="B10" s="21"/>
      <c r="C10" s="27" t="s">
        <v>105</v>
      </c>
      <c r="D10" s="28" t="s">
        <v>106</v>
      </c>
      <c r="E10" s="36" t="s">
        <v>107</v>
      </c>
      <c r="F10" s="26" t="s">
        <v>103</v>
      </c>
      <c r="G10" s="26" t="s">
        <v>99</v>
      </c>
      <c r="H10" s="22"/>
    </row>
    <row r="11" spans="1:11" ht="14.1" customHeight="1">
      <c r="B11" s="12">
        <f>IF(AND(YEAR(MaySun1+28)=CalendarYear,MONTH(MaySun1+28)=5),MaySun1+28, "")</f>
        <v>43975</v>
      </c>
      <c r="C11" s="6">
        <f>IF(AND(YEAR(MaySun1+29)=CalendarYear,MONTH(MaySun1+29)=5),MaySun1+29, "")</f>
        <v>43976</v>
      </c>
      <c r="D11" s="6">
        <f>IF(AND(YEAR(MaySun1+30)=CalendarYear,MONTH(MaySun1+30)=5),MaySun1+30, "")</f>
        <v>43977</v>
      </c>
      <c r="E11" s="6">
        <v>27</v>
      </c>
      <c r="F11" s="6">
        <f>IF(AND(YEAR(MaySun1+32)=CalendarYear,MONTH(MaySun1+32)=5),MaySun1+32, "")</f>
        <v>43979</v>
      </c>
      <c r="G11" s="6">
        <f>IF(AND(YEAR(MaySun1+33)=CalendarYear,MONTH(MaySun1+33)=5),MaySun1+33, "")</f>
        <v>43980</v>
      </c>
      <c r="H11" s="13">
        <f>IF(AND(YEAR(MaySun1+34)=CalendarYear,MONTH(MaySun1+34)=5),MaySun1+34, "")</f>
        <v>43981</v>
      </c>
    </row>
    <row r="12" spans="1:11" ht="90" customHeight="1">
      <c r="B12" s="21"/>
      <c r="C12" s="38" t="s">
        <v>108</v>
      </c>
      <c r="D12" s="26" t="s">
        <v>110</v>
      </c>
      <c r="E12" s="26" t="s">
        <v>111</v>
      </c>
      <c r="F12" s="26" t="s">
        <v>112</v>
      </c>
      <c r="G12" s="19" t="s">
        <v>114</v>
      </c>
      <c r="H12" s="22"/>
    </row>
    <row r="13" spans="1:11" ht="14.1" customHeight="1">
      <c r="B13" s="12">
        <f>IF(AND(YEAR(MaySun1+35)=CalendarYear,MONTH(MaySun1+35)=5),MaySun1+35, "")</f>
        <v>43982</v>
      </c>
      <c r="C13" s="6" t="str">
        <f>IF(AND(YEAR(MaySun1+36)=CalendarYear,MONTH(MaySun1+36)=5),MaySun1+36, "")</f>
        <v/>
      </c>
      <c r="D13" s="58" t="s">
        <v>8</v>
      </c>
      <c r="E13" s="58"/>
      <c r="F13" s="58"/>
      <c r="G13" s="58"/>
      <c r="H13" s="59"/>
    </row>
    <row r="14" spans="1:11" ht="57.9" customHeight="1" thickBot="1">
      <c r="B14" s="23"/>
      <c r="C14" s="20"/>
      <c r="D14" s="55"/>
      <c r="E14" s="56"/>
      <c r="F14" s="56"/>
      <c r="G14" s="56"/>
      <c r="H14" s="57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4"/>
  <sheetViews>
    <sheetView showGridLines="0" topLeftCell="B4" workbookViewId="0">
      <selection activeCell="C8" sqref="C8"/>
    </sheetView>
  </sheetViews>
  <sheetFormatPr baseColWidth="10" defaultColWidth="8.69921875" defaultRowHeight="13.8"/>
  <cols>
    <col min="1" max="1" width="2.3984375" style="1" customWidth="1"/>
    <col min="2" max="2" width="17.59765625" style="4" customWidth="1"/>
    <col min="3" max="6" width="30.5" style="4" customWidth="1"/>
    <col min="7" max="7" width="31.6992187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>
      <c r="B1" s="54">
        <f>DATE(CalendarYear,6,1)</f>
        <v>43983</v>
      </c>
      <c r="C1" s="54"/>
      <c r="D1" s="54"/>
      <c r="E1" s="54"/>
      <c r="F1" s="54"/>
      <c r="G1" s="54"/>
      <c r="H1" s="54"/>
      <c r="J1" s="7"/>
      <c r="K1" s="8"/>
    </row>
    <row r="2" spans="1:11" s="3" customFormat="1" ht="21.75" customHeight="1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>
      <c r="B3" s="9" t="str">
        <f>IF(AND(YEAR(JunSun1)=CalendarYear,MONTH(JunSun1)=6),JunSun1, "")</f>
        <v/>
      </c>
      <c r="C3" s="5">
        <f>IF(AND(YEAR(JunSun1+1)=CalendarYear,MONTH(JunSun1+1)=6),JunSun1+1, "")</f>
        <v>43983</v>
      </c>
      <c r="D3" s="5">
        <f>IF(AND(YEAR(JunSun1+2)=CalendarYear,MONTH(JunSun1+2)=6),JunSun1+2, "")</f>
        <v>43984</v>
      </c>
      <c r="E3" s="5">
        <f>IF(AND(YEAR(JunSun1+3)=CalendarYear,MONTH(JunSun1+3)=6),JunSun1+3, "")</f>
        <v>43985</v>
      </c>
      <c r="F3" s="5">
        <f>IF(AND(YEAR(JunSun1+4)=CalendarYear,MONTH(JunSun1+4)=6),JunSun1+4, "")</f>
        <v>43986</v>
      </c>
      <c r="G3" s="5">
        <f>IF(AND(YEAR(JunSun1+5)=CalendarYear,MONTH(JunSun1+5)=6),JunSun1+5, "")</f>
        <v>43987</v>
      </c>
      <c r="H3" s="10">
        <f>IF(AND(YEAR(JunSun1+6)=CalendarYear,MONTH(JunSun1+6)=6),JunSun1+6, "")</f>
        <v>43988</v>
      </c>
    </row>
    <row r="4" spans="1:11" ht="107.25" customHeight="1">
      <c r="B4" s="21"/>
      <c r="C4" s="24" t="s">
        <v>109</v>
      </c>
      <c r="D4" s="26" t="s">
        <v>113</v>
      </c>
      <c r="E4" s="26" t="s">
        <v>115</v>
      </c>
      <c r="F4" s="29" t="s">
        <v>116</v>
      </c>
      <c r="G4" s="26" t="s">
        <v>117</v>
      </c>
      <c r="H4" s="22"/>
    </row>
    <row r="5" spans="1:11" ht="14.1" customHeight="1">
      <c r="B5" s="11">
        <f>IF(AND(YEAR(JunSun1+7)=CalendarYear,MONTH(JunSun1+7)=6),JunSun1+7, "")</f>
        <v>43989</v>
      </c>
      <c r="C5" s="5">
        <f>IF(AND(YEAR(JunSun1+8)=CalendarYear,MONTH(JunSun1+8)=6),JunSun1+8, "")</f>
        <v>43990</v>
      </c>
      <c r="D5" s="5">
        <f>IF(AND(YEAR(JunSun1+9)=CalendarYear,MONTH(JunSun1+9)=6),JunSun1+9, "")</f>
        <v>43991</v>
      </c>
      <c r="E5" s="5">
        <f>IF(AND(YEAR(JunSun1+10)=CalendarYear,MONTH(JunSun1+10)=6),JunSun1+10, "")</f>
        <v>43992</v>
      </c>
      <c r="F5" s="5"/>
      <c r="G5" s="5">
        <f>IF(AND(YEAR(JunSun1+12)=CalendarYear,MONTH(JunSun1+12)=6),JunSun1+12,"")</f>
        <v>43994</v>
      </c>
      <c r="H5" s="10">
        <f>IF(AND(YEAR(JunSun1+13)=CalendarYear,MONTH(JunSun1+13)=6),JunSun1+13, "")</f>
        <v>43995</v>
      </c>
    </row>
    <row r="6" spans="1:11" ht="107.25" customHeight="1">
      <c r="B6" s="21"/>
      <c r="C6" s="27" t="s">
        <v>118</v>
      </c>
      <c r="D6" s="40" t="s">
        <v>119</v>
      </c>
      <c r="E6" s="26" t="s">
        <v>120</v>
      </c>
      <c r="F6" s="36" t="s">
        <v>121</v>
      </c>
      <c r="G6" s="19" t="s">
        <v>122</v>
      </c>
      <c r="H6" s="22"/>
    </row>
    <row r="7" spans="1:11" ht="14.1" customHeight="1">
      <c r="B7" s="11">
        <f>IF(AND(YEAR(JunSun1+14)=CalendarYear,MONTH(JunSun1+14)=6),JunSun1+14, "")</f>
        <v>43996</v>
      </c>
      <c r="C7" s="5">
        <v>15</v>
      </c>
      <c r="D7" s="5">
        <f>IF(AND(YEAR(JunSun1+16)=CalendarYear,MONTH(JunSun1+16)=6),JunSun1+16, "")</f>
        <v>43998</v>
      </c>
      <c r="E7" s="5">
        <f>IF(AND(YEAR(JunSun1+17)=CalendarYear,MONTH(JunSun1+17)=6),JunSun1+17, "")</f>
        <v>43999</v>
      </c>
      <c r="F7" s="5">
        <f>IF(AND(YEAR(JunSun1+18)=CalendarYear,MONTH(JunSun1+18)=6),JunSun1+18, "")</f>
        <v>44000</v>
      </c>
      <c r="G7" s="5">
        <v>19</v>
      </c>
      <c r="H7" s="10">
        <f>IF(AND(YEAR(JunSun1+20)=CalendarYear,MONTH(JunSun1+20)=6),JunSun1+20, "")</f>
        <v>44002</v>
      </c>
    </row>
    <row r="8" spans="1:11" ht="118.8">
      <c r="B8" s="21"/>
      <c r="C8" s="26" t="s">
        <v>123</v>
      </c>
      <c r="D8" s="26" t="s">
        <v>125</v>
      </c>
      <c r="E8" s="41" t="s">
        <v>124</v>
      </c>
      <c r="F8" s="26" t="s">
        <v>126</v>
      </c>
      <c r="G8" s="26" t="s">
        <v>127</v>
      </c>
      <c r="H8" s="22"/>
    </row>
    <row r="9" spans="1:11" ht="14.1" customHeight="1">
      <c r="B9" s="12">
        <f>IF(AND(YEAR(JunSun1+21)=CalendarYear,MONTH(JunSun1+21)=6),JunSun1+21, "")</f>
        <v>44003</v>
      </c>
      <c r="C9" s="6">
        <f>IF(AND(YEAR(JunSun1+22)=CalendarYear,MONTH(JunSun1+22)=6),JunSun1+22, "")</f>
        <v>44004</v>
      </c>
      <c r="D9" s="6">
        <f>IF(AND(YEAR(JunSun1+23)=CalendarYear,MONTH(JunSun1+23)=6),JunSun1+23, "")</f>
        <v>44005</v>
      </c>
      <c r="E9" s="6">
        <v>24</v>
      </c>
      <c r="F9" s="6">
        <f>IF(AND(YEAR(JunSun1+25)=CalendarYear,MONTH(JunSun1+25)=6),JunSun1+25, "")</f>
        <v>44007</v>
      </c>
      <c r="G9" s="6">
        <f>IF(AND(YEAR(JunSun1+26)=CalendarYear,MONTH(JunSun1+26)=6),JunSun1+26, "")</f>
        <v>44008</v>
      </c>
      <c r="H9" s="13">
        <f>IF(AND(YEAR(JunSun1+27)=CalendarYear,MONTH(JunSun1+27)=6),JunSun1+27, "")</f>
        <v>44009</v>
      </c>
    </row>
    <row r="10" spans="1:11" ht="107.25" customHeight="1">
      <c r="B10" s="21"/>
      <c r="C10" s="24" t="s">
        <v>128</v>
      </c>
      <c r="D10" s="19" t="s">
        <v>129</v>
      </c>
      <c r="E10" s="41" t="s">
        <v>130</v>
      </c>
      <c r="F10" s="26" t="s">
        <v>131</v>
      </c>
      <c r="G10" s="28" t="s">
        <v>132</v>
      </c>
      <c r="H10" s="22"/>
    </row>
    <row r="11" spans="1:11" ht="14.1" customHeight="1">
      <c r="B11" s="12">
        <f>IF(AND(YEAR(JunSun1+28)=CalendarYear,MONTH(JunSun1+28)=6),JunSun1+28, "")</f>
        <v>44010</v>
      </c>
      <c r="C11" s="6">
        <f>IF(AND(YEAR(JunSun1+29)=CalendarYear,MONTH(JunSun1+29)=6),JunSun1+29, "")</f>
        <v>44011</v>
      </c>
      <c r="D11" s="6">
        <v>30</v>
      </c>
      <c r="E11" s="6" t="str">
        <f>IF(AND(YEAR(JunSun1+31)=CalendarYear,MONTH(JunSun1+31)=6),JunSun1+31, "")</f>
        <v/>
      </c>
      <c r="F11" s="6" t="str">
        <f>IF(AND(YEAR(JunSun1+32)=CalendarYear,MONTH(JunSun1+32)=6),JunSun1+32, "")</f>
        <v/>
      </c>
      <c r="G11" s="6"/>
      <c r="H11" s="13" t="str">
        <f>IF(AND(YEAR(JunSun1+34)=CalendarYear,MONTH(JunSun1+34)=6),JunSun1+34, "")</f>
        <v/>
      </c>
    </row>
    <row r="12" spans="1:11" ht="105.6">
      <c r="B12" s="21"/>
      <c r="C12" s="47" t="s">
        <v>133</v>
      </c>
      <c r="D12" s="41" t="s">
        <v>136</v>
      </c>
      <c r="E12" s="44" t="s">
        <v>134</v>
      </c>
      <c r="F12" s="19"/>
      <c r="G12" s="19"/>
      <c r="H12" s="22"/>
    </row>
    <row r="13" spans="1:11" ht="17.25" customHeight="1">
      <c r="B13" s="12" t="str">
        <f>IF(AND(YEAR(JunSun1+35)=CalendarYear,MONTH(JunSun1+35)=6),JunSun1+35, "")</f>
        <v/>
      </c>
      <c r="C13" s="6"/>
      <c r="D13" s="58"/>
      <c r="E13" s="58"/>
      <c r="F13" s="58"/>
      <c r="G13" s="58"/>
      <c r="H13" s="59"/>
    </row>
    <row r="14" spans="1:11" ht="108" customHeight="1" thickBot="1">
      <c r="B14" s="23"/>
      <c r="C14" s="20"/>
      <c r="D14" s="55"/>
      <c r="E14" s="56"/>
      <c r="F14" s="56"/>
      <c r="G14" s="56"/>
      <c r="H14" s="57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4"/>
  <sheetViews>
    <sheetView showGridLines="0" topLeftCell="A10" workbookViewId="0">
      <selection activeCell="G12" sqref="G12"/>
    </sheetView>
  </sheetViews>
  <sheetFormatPr baseColWidth="10" defaultColWidth="8.69921875" defaultRowHeight="13.8"/>
  <cols>
    <col min="1" max="1" width="2.3984375" style="1" customWidth="1"/>
    <col min="2" max="2" width="17.59765625" style="4" customWidth="1"/>
    <col min="3" max="7" width="30.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>
      <c r="B1" s="54">
        <f>DATE(CalendarYear,7,1)</f>
        <v>44013</v>
      </c>
      <c r="C1" s="54"/>
      <c r="D1" s="54"/>
      <c r="E1" s="54"/>
      <c r="F1" s="54"/>
      <c r="G1" s="54"/>
      <c r="H1" s="54"/>
      <c r="J1" s="7"/>
      <c r="K1" s="8"/>
    </row>
    <row r="2" spans="1:11" s="3" customFormat="1" ht="21.75" customHeight="1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>
      <c r="B3" s="9" t="str">
        <f>IF(AND(YEAR(JulSun1)=CalendarYear,MONTH(JulSun1)=7),JulSun1, "")</f>
        <v/>
      </c>
      <c r="C3" s="5" t="str">
        <f>IF(AND(YEAR(JulSun1+1)=CalendarYear,MONTH(JulSun1+1)=7),JulSun1+1, "")</f>
        <v/>
      </c>
      <c r="D3" s="5" t="str">
        <f>IF(AND(YEAR(JulSun1+2)=CalendarYear,MONTH(JulSun1+2)=7),JulSun1+2, "")</f>
        <v/>
      </c>
      <c r="E3" s="5">
        <f>IF(AND(YEAR(JulSun1+3)=CalendarYear,MONTH(JulSun1+3)=7),JulSun1+3, "")</f>
        <v>44013</v>
      </c>
      <c r="F3" s="5">
        <f>IF(AND(YEAR(JulSun1+4)=CalendarYear,MONTH(JulSun1+4)=7),JulSun1+4, "")</f>
        <v>44014</v>
      </c>
      <c r="G3" s="5">
        <f>IF(AND(YEAR(JulSun1+5)=CalendarYear,MONTH(JulSun1+5)=7),JulSun1+5, "")</f>
        <v>44015</v>
      </c>
      <c r="H3" s="10">
        <f>IF(AND(YEAR(JulSun1+6)=CalendarYear,MONTH(JulSun1+6)=7),JulSun1+6, "")</f>
        <v>44016</v>
      </c>
    </row>
    <row r="4" spans="1:11" ht="118.8">
      <c r="B4" s="21"/>
      <c r="C4" s="18"/>
      <c r="E4" s="29" t="s">
        <v>135</v>
      </c>
      <c r="F4" s="28" t="s">
        <v>137</v>
      </c>
      <c r="G4" s="43" t="s">
        <v>139</v>
      </c>
      <c r="H4" s="22"/>
    </row>
    <row r="5" spans="1:11" ht="14.1" customHeight="1">
      <c r="B5" s="11">
        <f>IF(AND(YEAR(JulSun1+7)=CalendarYear,MONTH(JulSun1+7)=7),JulSun1+7, "")</f>
        <v>44017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>
        <v>11</v>
      </c>
    </row>
    <row r="6" spans="1:11" ht="107.25" customHeight="1">
      <c r="B6" s="21"/>
      <c r="C6" s="42" t="s">
        <v>138</v>
      </c>
      <c r="D6" s="28" t="s">
        <v>140</v>
      </c>
      <c r="E6" s="29" t="s">
        <v>141</v>
      </c>
      <c r="F6" s="29" t="s">
        <v>142</v>
      </c>
      <c r="G6" s="19" t="s">
        <v>143</v>
      </c>
      <c r="H6" s="22"/>
    </row>
    <row r="7" spans="1:11" ht="14.1" customHeight="1">
      <c r="B7" s="11">
        <f>IF(AND(YEAR(JulSun1+14)=CalendarYear,MONTH(JulSun1+14)=7),JulSun1+14, "")</f>
        <v>44024</v>
      </c>
      <c r="C7" s="5">
        <v>13</v>
      </c>
      <c r="D7" s="5">
        <v>14</v>
      </c>
      <c r="E7" s="5">
        <v>15</v>
      </c>
      <c r="F7" s="5">
        <v>16</v>
      </c>
      <c r="G7" s="5">
        <v>17</v>
      </c>
      <c r="H7" s="5">
        <v>18</v>
      </c>
    </row>
    <row r="8" spans="1:11" ht="107.25" customHeight="1">
      <c r="B8" s="21"/>
      <c r="C8" s="45" t="s">
        <v>144</v>
      </c>
      <c r="D8" s="41" t="s">
        <v>146</v>
      </c>
      <c r="E8" s="29" t="s">
        <v>147</v>
      </c>
      <c r="F8" s="28" t="s">
        <v>145</v>
      </c>
      <c r="G8" s="19" t="s">
        <v>150</v>
      </c>
      <c r="H8" s="22"/>
    </row>
    <row r="9" spans="1:11" ht="14.1" customHeight="1">
      <c r="B9" s="12">
        <f>IF(AND(YEAR(JulSun1+21)=CalendarYear,MONTH(JulSun1+21)=7),JulSun1+21, "")</f>
        <v>44031</v>
      </c>
      <c r="C9" s="6">
        <v>20</v>
      </c>
      <c r="D9" s="6">
        <v>21</v>
      </c>
      <c r="E9" s="6">
        <v>22</v>
      </c>
      <c r="F9" s="6">
        <v>23</v>
      </c>
      <c r="G9" s="6">
        <v>24</v>
      </c>
      <c r="H9" s="6">
        <v>25</v>
      </c>
    </row>
    <row r="10" spans="1:11" ht="118.2">
      <c r="B10" s="21"/>
      <c r="C10" s="45" t="s">
        <v>148</v>
      </c>
      <c r="D10" s="26" t="s">
        <v>149</v>
      </c>
      <c r="E10" s="19" t="s">
        <v>151</v>
      </c>
      <c r="F10" s="40" t="s">
        <v>152</v>
      </c>
      <c r="G10" s="19" t="s">
        <v>153</v>
      </c>
      <c r="H10" s="22"/>
    </row>
    <row r="11" spans="1:11" ht="14.1" customHeight="1">
      <c r="B11" s="12">
        <f>IF(AND(YEAR(JulSun1+28)=CalendarYear,MONTH(JulSun1+28)=7),JulSun1+28, "")</f>
        <v>44038</v>
      </c>
      <c r="C11" s="6">
        <v>27</v>
      </c>
      <c r="D11" s="6">
        <v>28</v>
      </c>
      <c r="E11" s="6">
        <v>29</v>
      </c>
      <c r="F11" s="6">
        <v>30</v>
      </c>
      <c r="G11" s="6">
        <v>31</v>
      </c>
      <c r="H11" s="13" t="str">
        <f>IF(AND(YEAR(JulSun1+34)=CalendarYear,MONTH(JulSun1+34)=7),JulSun1+34, "")</f>
        <v/>
      </c>
    </row>
    <row r="12" spans="1:11" ht="107.25" customHeight="1">
      <c r="B12" s="21"/>
      <c r="C12" s="45" t="s">
        <v>154</v>
      </c>
      <c r="D12" s="26" t="s">
        <v>155</v>
      </c>
      <c r="E12" s="29" t="s">
        <v>156</v>
      </c>
      <c r="F12" s="26" t="s">
        <v>157</v>
      </c>
      <c r="G12" s="26" t="s">
        <v>158</v>
      </c>
      <c r="H12" s="22"/>
    </row>
    <row r="13" spans="1:11" ht="14.1" customHeight="1">
      <c r="B13" s="12" t="str">
        <f>IF(AND(YEAR(JulSun1+35)=CalendarYear,MONTH(JulSun1+35)=7),JulSun1+35, "")</f>
        <v/>
      </c>
      <c r="C13" s="6" t="str">
        <f>IF(AND(YEAR(JulSun1+36)=CalendarYear,MONTH(JulSun1+36)=7),JulSun1+36, "")</f>
        <v/>
      </c>
      <c r="D13" s="58" t="s">
        <v>8</v>
      </c>
      <c r="E13" s="58"/>
      <c r="F13" s="58"/>
      <c r="G13" s="58"/>
      <c r="H13" s="59"/>
    </row>
    <row r="14" spans="1:11" ht="57.9" customHeight="1" thickBot="1">
      <c r="B14" s="23"/>
      <c r="C14" s="20"/>
      <c r="D14" s="55"/>
      <c r="E14" s="56"/>
      <c r="F14" s="56"/>
      <c r="G14" s="56"/>
      <c r="H14" s="57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pageSetup paperSize="9" scale="76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4"/>
  <sheetViews>
    <sheetView showGridLines="0" topLeftCell="A10" workbookViewId="0">
      <selection activeCell="E9" sqref="E9"/>
    </sheetView>
  </sheetViews>
  <sheetFormatPr baseColWidth="10" defaultColWidth="8.69921875" defaultRowHeight="13.8"/>
  <cols>
    <col min="1" max="1" width="2.3984375" style="1" customWidth="1"/>
    <col min="2" max="2" width="17.59765625" style="4" customWidth="1"/>
    <col min="3" max="7" width="30.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>
      <c r="B1" s="54">
        <f>DATE(CalendarYear,8,1)</f>
        <v>44044</v>
      </c>
      <c r="C1" s="54"/>
      <c r="D1" s="54"/>
      <c r="E1" s="54"/>
      <c r="F1" s="54"/>
      <c r="G1" s="54"/>
      <c r="H1" s="54"/>
      <c r="J1" s="7"/>
      <c r="K1" s="8"/>
    </row>
    <row r="2" spans="1:11" s="3" customFormat="1" ht="21.75" customHeight="1">
      <c r="A2" s="2"/>
      <c r="B2" s="14">
        <v>511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>
      <c r="B3" s="9" t="str">
        <f>IF(AND(YEAR(AugSun1)=CalendarYear,MONTH(AugSun1)=8),AugSun1, "")</f>
        <v/>
      </c>
      <c r="C3" s="5" t="str">
        <f>IF(AND(YEAR(AugSun1+1)=CalendarYear,MONTH(AugSun1+1)=8),AugSun1+1, "")</f>
        <v/>
      </c>
      <c r="D3" s="5" t="str">
        <f>IF(AND(YEAR(AugSun1+2)=CalendarYear,MONTH(AugSun1+2)=8),AugSun1+2, "")</f>
        <v/>
      </c>
      <c r="E3" s="5" t="str">
        <f>IF(AND(YEAR(AugSun1+3)=CalendarYear,MONTH(AugSun1+3)=8),AugSun1+3, "")</f>
        <v/>
      </c>
      <c r="F3" s="5" t="str">
        <f>IF(AND(YEAR(AugSun1+4)=CalendarYear,MONTH(AugSun1+4)=8),AugSun1+4, "")</f>
        <v/>
      </c>
      <c r="G3" s="5" t="str">
        <f>IF(AND(YEAR(AugSun1+5)=CalendarYear,MONTH(AugSun1+5)=8),AugSun1+5, "")</f>
        <v/>
      </c>
      <c r="H3" s="10">
        <f>IF(AND(YEAR(AugSun1+6)=CalendarYear,MONTH(AugSun1+6)=8),AugSun1+6, "")</f>
        <v>44044</v>
      </c>
    </row>
    <row r="4" spans="1:11" ht="90" customHeight="1">
      <c r="B4" s="21"/>
      <c r="C4" s="18"/>
      <c r="E4" s="19"/>
      <c r="F4" s="18"/>
      <c r="G4" s="18"/>
      <c r="H4" s="22"/>
    </row>
    <row r="5" spans="1:11" ht="14.1" customHeight="1">
      <c r="B5" s="11">
        <f>IF(AND(YEAR(AugSun1+7)=CalendarYear,MONTH(AugSun1+7)=8),AugSun1+7, "")</f>
        <v>44045</v>
      </c>
      <c r="C5" s="5">
        <v>3</v>
      </c>
      <c r="D5" s="5">
        <f>IF(AND(YEAR(AugSun1+9)=CalendarYear,MONTH(AugSun1+9)=8),AugSun1+9, "")</f>
        <v>44047</v>
      </c>
      <c r="E5" s="5">
        <f>IF(AND(YEAR(AugSun1+10)=CalendarYear,MONTH(AugSun1+10)=8),AugSun1+10, "")</f>
        <v>44048</v>
      </c>
      <c r="F5" s="5">
        <f>IF(AND(YEAR(AugSun1+11)=CalendarYear,MONTH(AugSun1+11)=8),AugSun1+11, "")</f>
        <v>44049</v>
      </c>
      <c r="G5" s="5">
        <f>IF(AND(YEAR(AugSun1+12)=CalendarYear,MONTH(AugSun1+12)=8),AugSun1+12,"")</f>
        <v>44050</v>
      </c>
      <c r="H5" s="10">
        <f>IF(AND(YEAR(AugSun1+13)=CalendarYear,MONTH(AugSun1+13)=8),AugSun1+13, "")</f>
        <v>44051</v>
      </c>
    </row>
    <row r="6" spans="1:11" ht="79.2">
      <c r="B6" s="21"/>
      <c r="C6" s="45" t="s">
        <v>159</v>
      </c>
      <c r="D6" s="29" t="s">
        <v>160</v>
      </c>
      <c r="E6" s="38" t="s">
        <v>161</v>
      </c>
      <c r="F6" s="48" t="s">
        <v>162</v>
      </c>
      <c r="G6" s="29" t="s">
        <v>165</v>
      </c>
      <c r="H6" s="22"/>
    </row>
    <row r="7" spans="1:11" ht="14.1" customHeight="1">
      <c r="B7" s="11">
        <f>IF(AND(YEAR(AugSun1+14)=CalendarYear,MONTH(AugSun1+14)=8),AugSun1+14, "")</f>
        <v>44052</v>
      </c>
      <c r="C7" s="5">
        <f>IF(AND(YEAR(AugSun1+15)=CalendarYear,MONTH(AugSun1+15)=8),AugSun1+15, "")</f>
        <v>44053</v>
      </c>
      <c r="D7" s="5">
        <f>IF(AND(YEAR(AugSun1+16)=CalendarYear,MONTH(AugSun1+16)=8),AugSun1+16, "")</f>
        <v>44054</v>
      </c>
      <c r="E7" s="5">
        <f>IF(AND(YEAR(AugSun1+17)=CalendarYear,MONTH(AugSun1+17)=8),AugSun1+17, "")</f>
        <v>44055</v>
      </c>
      <c r="F7" s="5">
        <f>IF(AND(YEAR(AugSun1+18)=CalendarYear,MONTH(AugSun1+18)=8),AugSun1+18, "")</f>
        <v>44056</v>
      </c>
      <c r="G7" s="5">
        <f>IF(AND(YEAR(AugSun1+19)=CalendarYear,MONTH(AugSun1+19)=8),AugSun1+19, "")</f>
        <v>44057</v>
      </c>
      <c r="H7" s="10">
        <f>IF(AND(YEAR(AugSun1+20)=CalendarYear,MONTH(AugSun1+20)=8),AugSun1+20, "")</f>
        <v>44058</v>
      </c>
    </row>
    <row r="8" spans="1:11" ht="118.8">
      <c r="B8" s="21"/>
      <c r="C8" s="30" t="s">
        <v>163</v>
      </c>
      <c r="D8" s="30" t="s">
        <v>168</v>
      </c>
      <c r="E8" s="24" t="s">
        <v>166</v>
      </c>
      <c r="F8" s="24" t="s">
        <v>167</v>
      </c>
      <c r="G8" s="24" t="s">
        <v>164</v>
      </c>
      <c r="H8" s="22"/>
    </row>
    <row r="9" spans="1:11" ht="14.1" customHeight="1">
      <c r="B9" s="12">
        <f>IF(AND(YEAR(AugSun1+21)=CalendarYear,MONTH(AugSun1+21)=8),AugSun1+21, "")</f>
        <v>44059</v>
      </c>
      <c r="C9" s="6">
        <f>IF(AND(YEAR(AugSun1+22)=CalendarYear,MONTH(AugSun1+22)=8),AugSun1+22, "")</f>
        <v>44060</v>
      </c>
      <c r="D9" s="6">
        <f>IF(AND(YEAR(AugSun1+23)=CalendarYear,MONTH(AugSun1+23)=8),AugSun1+23, "")</f>
        <v>44061</v>
      </c>
      <c r="E9" s="6">
        <f>IF(AND(YEAR(AugSun1+24)=CalendarYear,MONTH(AugSun1+24)=8),AugSun1+24, "")</f>
        <v>44062</v>
      </c>
      <c r="F9" s="6">
        <f>IF(AND(YEAR(AugSun1+25)=CalendarYear,MONTH(AugSun1+25)=8),AugSun1+25, "")</f>
        <v>44063</v>
      </c>
      <c r="G9" s="6">
        <f>IF(AND(YEAR(AugSun1+26)=CalendarYear,MONTH(AugSun1+26)=8),AugSun1+26, "")</f>
        <v>44064</v>
      </c>
      <c r="H9" s="13">
        <f>IF(AND(YEAR(AugSun1+27)=CalendarYear,MONTH(AugSun1+27)=8),AugSun1+27, "")</f>
        <v>44065</v>
      </c>
    </row>
    <row r="10" spans="1:11" ht="145.19999999999999">
      <c r="B10" s="21"/>
      <c r="C10" s="24" t="s">
        <v>169</v>
      </c>
      <c r="D10" s="24" t="s">
        <v>171</v>
      </c>
      <c r="E10" s="18" t="s">
        <v>170</v>
      </c>
      <c r="F10" s="24" t="s">
        <v>172</v>
      </c>
      <c r="G10" s="46" t="s">
        <v>173</v>
      </c>
      <c r="H10" s="22"/>
    </row>
    <row r="11" spans="1:11" ht="14.1" customHeight="1">
      <c r="B11" s="12">
        <f>IF(AND(YEAR(AugSun1+28)=CalendarYear,MONTH(AugSun1+28)=8),AugSun1+28, "")</f>
        <v>44066</v>
      </c>
      <c r="C11" s="6">
        <f>IF(AND(YEAR(AugSun1+29)=CalendarYear,MONTH(AugSun1+29)=8),AugSun1+29, "")</f>
        <v>44067</v>
      </c>
      <c r="D11" s="6">
        <f>IF(AND(YEAR(AugSun1+30)=CalendarYear,MONTH(AugSun1+30)=8),AugSun1+30, "")</f>
        <v>44068</v>
      </c>
      <c r="E11" s="6">
        <f>IF(AND(YEAR(AugSun1+31)=CalendarYear,MONTH(AugSun1+31)=8),AugSun1+31, "")</f>
        <v>44069</v>
      </c>
      <c r="F11" s="6">
        <f>IF(AND(YEAR(AugSun1+32)=CalendarYear,MONTH(AugSun1+32)=8),AugSun1+32, "")</f>
        <v>44070</v>
      </c>
      <c r="G11" s="6">
        <f>IF(AND(YEAR(AugSun1+33)=CalendarYear,MONTH(AugSun1+33)=8),AugSun1+33, "")</f>
        <v>44071</v>
      </c>
      <c r="H11" s="13">
        <f>IF(AND(YEAR(AugSun1+34)=CalendarYear,MONTH(AugSun1+34)=8),AugSun1+34, "")</f>
        <v>44072</v>
      </c>
    </row>
    <row r="12" spans="1:11" ht="90" customHeight="1">
      <c r="B12" s="21"/>
      <c r="C12" s="49" t="s">
        <v>174</v>
      </c>
      <c r="D12" s="41" t="s">
        <v>175</v>
      </c>
      <c r="E12" s="41" t="s">
        <v>176</v>
      </c>
      <c r="F12" s="29" t="s">
        <v>177</v>
      </c>
      <c r="G12" s="29" t="s">
        <v>178</v>
      </c>
      <c r="H12" s="22"/>
    </row>
    <row r="13" spans="1:11" ht="14.1" customHeight="1">
      <c r="B13" s="12">
        <f>IF(AND(YEAR(AugSun1+35)=CalendarYear,MONTH(AugSun1+35)=8),AugSun1+35, "")</f>
        <v>44073</v>
      </c>
      <c r="C13" s="6">
        <v>31</v>
      </c>
      <c r="D13" s="58" t="s">
        <v>8</v>
      </c>
      <c r="E13" s="58"/>
      <c r="F13" s="58"/>
      <c r="G13" s="58"/>
      <c r="H13" s="59"/>
    </row>
    <row r="14" spans="1:11" ht="57.9" customHeight="1" thickBot="1">
      <c r="B14" s="23"/>
      <c r="C14" s="50" t="s">
        <v>179</v>
      </c>
      <c r="D14" s="55"/>
      <c r="E14" s="56"/>
      <c r="F14" s="56"/>
      <c r="G14" s="56"/>
      <c r="H14" s="57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14"/>
  <sheetViews>
    <sheetView showGridLines="0" topLeftCell="C1" workbookViewId="0">
      <selection activeCell="B1" sqref="B1:H1"/>
    </sheetView>
  </sheetViews>
  <sheetFormatPr baseColWidth="10" defaultColWidth="8.69921875" defaultRowHeight="13.8"/>
  <cols>
    <col min="1" max="1" width="2.3984375" style="1" customWidth="1"/>
    <col min="2" max="2" width="17.59765625" style="4" customWidth="1"/>
    <col min="3" max="3" width="30.5" style="4" customWidth="1"/>
    <col min="4" max="4" width="33.09765625" style="4" customWidth="1"/>
    <col min="5" max="7" width="30.5" style="4" customWidth="1"/>
    <col min="8" max="8" width="17.59765625" style="4" customWidth="1"/>
    <col min="9" max="9" width="8.69921875" style="4"/>
    <col min="10" max="10" width="15.19921875" style="4" customWidth="1"/>
    <col min="11" max="11" width="16.69921875" style="4" customWidth="1"/>
    <col min="12" max="16384" width="8.69921875" style="4"/>
  </cols>
  <sheetData>
    <row r="1" spans="1:11" s="1" customFormat="1" ht="59.25" customHeight="1" thickBot="1">
      <c r="B1" s="54">
        <f>DATE(CalendarYear,9,1)</f>
        <v>44075</v>
      </c>
      <c r="C1" s="54"/>
      <c r="D1" s="54"/>
      <c r="E1" s="54"/>
      <c r="F1" s="54"/>
      <c r="G1" s="54"/>
      <c r="H1" s="54"/>
      <c r="J1" s="7"/>
      <c r="K1" s="8"/>
    </row>
    <row r="2" spans="1:11" s="3" customFormat="1" ht="21.75" customHeight="1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ht="14.1" customHeight="1">
      <c r="B3" s="9" t="str">
        <f>IF(AND(YEAR(SepSun1)=CalendarYear,MONTH(SepSun1)=9),SepSun1, "")</f>
        <v/>
      </c>
      <c r="C3" s="5" t="str">
        <f>IF(AND(YEAR(SepSun1+1)=CalendarYear,MONTH(SepSun1+1)=9),SepSun1+1, "")</f>
        <v/>
      </c>
      <c r="D3" s="5">
        <f>IF(AND(YEAR(SepSun1+2)=CalendarYear,MONTH(SepSun1+2)=9),SepSun1+2, "")</f>
        <v>44075</v>
      </c>
      <c r="E3" s="5">
        <f>IF(AND(YEAR(SepSun1+3)=CalendarYear,MONTH(SepSun1+3)=9),SepSun1+3, "")</f>
        <v>44076</v>
      </c>
      <c r="F3" s="5">
        <f>IF(AND(YEAR(SepSun1+4)=CalendarYear,MONTH(SepSun1+4)=9),SepSun1+4, "")</f>
        <v>44077</v>
      </c>
      <c r="G3" s="5">
        <f>IF(AND(YEAR(SepSun1+5)=CalendarYear,MONTH(SepSun1+5)=9),SepSun1+5, "")</f>
        <v>44078</v>
      </c>
      <c r="H3" s="10">
        <f>IF(AND(YEAR(SepSun1+6)=CalendarYear,MONTH(SepSun1+6)=9),SepSun1+6, "")</f>
        <v>44079</v>
      </c>
    </row>
    <row r="4" spans="1:11" ht="103.5" customHeight="1">
      <c r="B4" s="21"/>
      <c r="C4" s="18"/>
      <c r="D4" s="30" t="s">
        <v>180</v>
      </c>
      <c r="E4" s="24" t="s">
        <v>181</v>
      </c>
      <c r="F4" s="30" t="s">
        <v>183</v>
      </c>
      <c r="G4" s="33" t="s">
        <v>182</v>
      </c>
      <c r="H4" s="22"/>
    </row>
    <row r="5" spans="1:11" ht="14.1" customHeight="1">
      <c r="B5" s="11">
        <f>IF(AND(YEAR(SepSun1+7)=CalendarYear,MONTH(SepSun1+7)=9),SepSun1+7, "")</f>
        <v>44080</v>
      </c>
      <c r="C5" s="5">
        <f>IF(AND(YEAR(SepSun1+8)=CalendarYear,MONTH(SepSun1+8)=9),SepSun1+8, "")</f>
        <v>44081</v>
      </c>
      <c r="D5" s="5">
        <f>IF(AND(YEAR(SepSun1+9)=CalendarYear,MONTH(SepSun1+9)=9),SepSun1+9, "")</f>
        <v>44082</v>
      </c>
      <c r="E5" s="5">
        <f>IF(AND(YEAR(SepSun1+10)=CalendarYear,MONTH(SepSun1+10)=9),SepSun1+10, "")</f>
        <v>44083</v>
      </c>
      <c r="F5" s="5">
        <f>IF(AND(YEAR(SepSun1+11)=CalendarYear,MONTH(SepSun1+11)=9),SepSun1+11, "")</f>
        <v>44084</v>
      </c>
      <c r="G5" s="5">
        <f>IF(AND(YEAR(SepSun1+12)=CalendarYear,MONTH(SepSun1+12)=9),SepSun1+12,"")</f>
        <v>44085</v>
      </c>
      <c r="H5" s="10">
        <f>IF(AND(YEAR(SepSun1+13)=CalendarYear,MONTH(SepSun1+13)=9),SepSun1+13, "")</f>
        <v>44086</v>
      </c>
    </row>
    <row r="6" spans="1:11" ht="90" customHeight="1">
      <c r="B6" s="21"/>
      <c r="C6" s="30" t="s">
        <v>184</v>
      </c>
      <c r="D6" s="30" t="s">
        <v>186</v>
      </c>
      <c r="E6" s="30" t="s">
        <v>189</v>
      </c>
      <c r="F6" s="24" t="s">
        <v>187</v>
      </c>
      <c r="G6" s="26" t="s">
        <v>188</v>
      </c>
      <c r="H6" s="22"/>
    </row>
    <row r="7" spans="1:11" ht="14.1" customHeight="1">
      <c r="B7" s="11">
        <f>IF(AND(YEAR(SepSun1+14)=CalendarYear,MONTH(SepSun1+14)=9),SepSun1+14, "")</f>
        <v>44087</v>
      </c>
      <c r="C7" s="5">
        <f>IF(AND(YEAR(SepSun1+15)=CalendarYear,MONTH(SepSun1+15)=9),SepSun1+15, "")</f>
        <v>44088</v>
      </c>
      <c r="D7" s="5">
        <f>IF(AND(YEAR(SepSun1+16)=CalendarYear,MONTH(SepSun1+16)=9),SepSun1+16, "")</f>
        <v>44089</v>
      </c>
      <c r="E7" s="5">
        <f>IF(AND(YEAR(SepSun1+17)=CalendarYear,MONTH(SepSun1+17)=9),SepSun1+17, "")</f>
        <v>44090</v>
      </c>
      <c r="F7" s="5">
        <f>IF(AND(YEAR(SepSun1+18)=CalendarYear,MONTH(SepSun1+18)=9),SepSun1+18, "")</f>
        <v>44091</v>
      </c>
      <c r="G7" s="5">
        <f>IF(AND(YEAR(SepSun1+19)=CalendarYear,MONTH(SepSun1+19)=9),SepSun1+19, "")</f>
        <v>44092</v>
      </c>
      <c r="H7" s="10">
        <f>IF(AND(YEAR(SepSun1+20)=CalendarYear,MONTH(SepSun1+20)=9),SepSun1+20, "")</f>
        <v>44093</v>
      </c>
    </row>
    <row r="8" spans="1:11" ht="90" customHeight="1">
      <c r="B8" s="21"/>
      <c r="C8" s="27" t="s">
        <v>190</v>
      </c>
      <c r="D8" s="24" t="s">
        <v>195</v>
      </c>
      <c r="E8" s="30" t="s">
        <v>191</v>
      </c>
      <c r="F8" s="48" t="s">
        <v>192</v>
      </c>
      <c r="G8" s="36" t="s">
        <v>194</v>
      </c>
      <c r="H8" s="22"/>
    </row>
    <row r="9" spans="1:11" ht="15.75" customHeight="1">
      <c r="B9" s="12">
        <f>IF(AND(YEAR(SepSun1+21)=CalendarYear,MONTH(SepSun1+21)=9),SepSun1+21, "")</f>
        <v>44094</v>
      </c>
      <c r="C9" s="6">
        <f>IF(AND(YEAR(SepSun1+22)=CalendarYear,MONTH(SepSun1+22)=9),SepSun1+22, "")</f>
        <v>44095</v>
      </c>
      <c r="D9" s="6">
        <f>IF(AND(YEAR(SepSun1+23)=CalendarYear,MONTH(SepSun1+23)=9),SepSun1+23, "")</f>
        <v>44096</v>
      </c>
      <c r="E9" s="6">
        <f>IF(AND(YEAR(SepSun1+24)=CalendarYear,MONTH(SepSun1+24)=9),SepSun1+24, "")</f>
        <v>44097</v>
      </c>
      <c r="F9" s="6">
        <f>IF(AND(YEAR(SepSun1+25)=CalendarYear,MONTH(SepSun1+25)=9),SepSun1+25, "")</f>
        <v>44098</v>
      </c>
      <c r="G9" s="6">
        <f>IF(AND(YEAR(SepSun1+26)=CalendarYear,MONTH(SepSun1+26)=9),SepSun1+26, "")</f>
        <v>44099</v>
      </c>
      <c r="H9" s="13">
        <f>IF(AND(YEAR(SepSun1+27)=CalendarYear,MONTH(SepSun1+27)=9),SepSun1+27, "")</f>
        <v>44100</v>
      </c>
    </row>
    <row r="10" spans="1:11" ht="198">
      <c r="B10" s="21"/>
      <c r="C10" s="47" t="s">
        <v>185</v>
      </c>
      <c r="D10" s="30" t="s">
        <v>193</v>
      </c>
      <c r="E10" s="18" t="s">
        <v>196</v>
      </c>
      <c r="F10" s="18" t="s">
        <v>197</v>
      </c>
      <c r="G10" s="26" t="s">
        <v>260</v>
      </c>
      <c r="H10" s="22"/>
      <c r="I10" s="4" t="e">
        <f>---G10</f>
        <v>#VALUE!</v>
      </c>
    </row>
    <row r="11" spans="1:11" ht="14.1" customHeight="1">
      <c r="B11" s="12">
        <f>IF(AND(YEAR(SepSun1+28)=CalendarYear,MONTH(SepSun1+28)=9),SepSun1+28, "")</f>
        <v>44101</v>
      </c>
      <c r="C11" s="6">
        <f>IF(AND(YEAR(SepSun1+29)=CalendarYear,MONTH(SepSun1+29)=9),SepSun1+29, "")</f>
        <v>44102</v>
      </c>
      <c r="D11" s="6">
        <f>IF(AND(YEAR(SepSun1+30)=CalendarYear,MONTH(SepSun1+30)=9),SepSun1+30, "")</f>
        <v>44103</v>
      </c>
      <c r="E11" s="6">
        <f>IF(AND(YEAR(SepSun1+31)=CalendarYear,MONTH(SepSun1+31)=9),SepSun1+31, "")</f>
        <v>44104</v>
      </c>
      <c r="F11" s="6" t="str">
        <f>IF(AND(YEAR(SepSun1+32)=CalendarYear,MONTH(SepSun1+32)=9),SepSun1+32, "")</f>
        <v/>
      </c>
      <c r="G11" s="6" t="str">
        <f>IF(AND(YEAR(SepSun1+33)=CalendarYear,MONTH(SepSun1+33)=9),SepSun1+33, "")</f>
        <v/>
      </c>
      <c r="H11" s="13" t="str">
        <f>IF(AND(YEAR(SepSun1+34)=CalendarYear,MONTH(SepSun1+34)=9),SepSun1+34, "")</f>
        <v/>
      </c>
    </row>
    <row r="12" spans="1:11" ht="198">
      <c r="B12" s="21"/>
      <c r="C12" s="18" t="s">
        <v>203</v>
      </c>
      <c r="D12" s="27" t="s">
        <v>198</v>
      </c>
      <c r="E12" s="48" t="s">
        <v>202</v>
      </c>
      <c r="F12" s="18"/>
      <c r="G12" s="28"/>
      <c r="H12" s="22"/>
    </row>
    <row r="13" spans="1:11" ht="14.1" customHeight="1">
      <c r="B13" s="12" t="str">
        <f>IF(AND(YEAR(SepSun1+35)=CalendarYear,MONTH(SepSun1+35)=9),SepSun1+35, "")</f>
        <v/>
      </c>
      <c r="C13" s="6" t="s">
        <v>8</v>
      </c>
      <c r="D13" s="58"/>
      <c r="E13" s="58"/>
      <c r="F13" s="58"/>
      <c r="G13" s="58"/>
      <c r="H13" s="59"/>
    </row>
    <row r="14" spans="1:11" ht="57.9" customHeight="1" thickBot="1">
      <c r="B14" s="23"/>
      <c r="C14" s="20"/>
      <c r="D14" s="55"/>
      <c r="E14" s="56"/>
      <c r="F14" s="56"/>
      <c r="G14" s="56"/>
      <c r="H14" s="57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pageSetup paperSize="9" scale="70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4</vt:i4>
      </vt:variant>
    </vt:vector>
  </HeadingPairs>
  <TitlesOfParts>
    <vt:vector size="17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Lookup List</vt:lpstr>
      <vt:lpstr>CalendarYear</vt:lpstr>
      <vt:lpstr>Year</vt:lpstr>
      <vt:lpstr>Jan!Zone_d_impression</vt:lpstr>
      <vt:lpstr>Jul!Zone_d_impression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Bettina Pasche</cp:lastModifiedBy>
  <cp:lastPrinted>2020-11-25T09:29:33Z</cp:lastPrinted>
  <dcterms:created xsi:type="dcterms:W3CDTF">2001-05-02T15:52:45Z</dcterms:created>
  <dcterms:modified xsi:type="dcterms:W3CDTF">2020-12-22T10:56:09Z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TC102851621033</vt:lpwstr>
  </property>
</Properties>
</file>