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1284B2A5-E389-4C0A-8269-7C5CA0DF14EA}" xr6:coauthVersionLast="40" xr6:coauthVersionMax="40" xr10:uidLastSave="{00000000-0000-0000-0000-000000000000}"/>
  <bookViews>
    <workbookView xWindow="390" yWindow="390" windowWidth="21600" windowHeight="11385" tabRatio="788" activeTab="11" xr2:uid="{00000000-000D-0000-FFFF-FFFF00000000}"/>
  </bookViews>
  <sheets>
    <sheet name="Jan" sheetId="14" r:id="rId1"/>
    <sheet name="Feb" sheetId="19" r:id="rId2"/>
    <sheet name="Mar" sheetId="20" r:id="rId3"/>
    <sheet name="Apr" sheetId="22" r:id="rId4"/>
    <sheet name="May" sheetId="24" r:id="rId5"/>
    <sheet name="Jun" sheetId="25" r:id="rId6"/>
    <sheet name="Jul" sheetId="26" r:id="rId7"/>
    <sheet name="Aug" sheetId="32" r:id="rId8"/>
    <sheet name="Sep" sheetId="28" r:id="rId9"/>
    <sheet name="Oct" sheetId="29" r:id="rId10"/>
    <sheet name="Nov" sheetId="30" r:id="rId11"/>
    <sheet name="Dec" sheetId="31" r:id="rId12"/>
    <sheet name="Lookup List" sheetId="15" r:id="rId13"/>
  </sheet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Year">YearLookup[]</definedName>
    <definedName name="_xlnm.Print_Area" localSheetId="0">Jan!$A$1:$H$14</definedName>
    <definedName name="_xlnm.Print_Area" localSheetId="6">Jul!$C$2:$G$12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1" l="1"/>
  <c r="D11" i="25" l="1"/>
  <c r="G11" i="25" l="1"/>
  <c r="G9" i="24" l="1"/>
  <c r="C5" i="28" l="1"/>
  <c r="F11" i="30" l="1"/>
  <c r="C9" i="29" l="1"/>
  <c r="F7" i="29" l="1"/>
  <c r="F11" i="28" l="1"/>
  <c r="E9" i="28" l="1"/>
  <c r="D9" i="28" l="1"/>
  <c r="E9" i="32" l="1"/>
  <c r="B1" i="14" l="1"/>
  <c r="B13" i="32" l="1"/>
  <c r="H11" i="32"/>
  <c r="G11" i="32"/>
  <c r="F11" i="32"/>
  <c r="E11" i="32"/>
  <c r="D11" i="32"/>
  <c r="C11" i="32"/>
  <c r="B11" i="32"/>
  <c r="H9" i="32"/>
  <c r="G9" i="32"/>
  <c r="F9" i="32"/>
  <c r="D9" i="32"/>
  <c r="C9" i="32"/>
  <c r="B9" i="32"/>
  <c r="H7" i="32"/>
  <c r="G7" i="32"/>
  <c r="F7" i="32"/>
  <c r="E7" i="32"/>
  <c r="D7" i="32"/>
  <c r="C7" i="32"/>
  <c r="B7" i="32"/>
  <c r="H5" i="32"/>
  <c r="G5" i="32"/>
  <c r="F5" i="32"/>
  <c r="E5" i="32"/>
  <c r="D5" i="32"/>
  <c r="C5" i="32"/>
  <c r="B5" i="32"/>
  <c r="H3" i="32"/>
  <c r="G3" i="32"/>
  <c r="F3" i="32"/>
  <c r="E3" i="32"/>
  <c r="D3" i="32"/>
  <c r="C3" i="32"/>
  <c r="B3" i="32"/>
  <c r="B1" i="32"/>
  <c r="B1" i="28"/>
  <c r="C13" i="31"/>
  <c r="B13" i="31"/>
  <c r="H11" i="31"/>
  <c r="G11" i="31"/>
  <c r="F11" i="31"/>
  <c r="E11" i="31"/>
  <c r="D11" i="31"/>
  <c r="C11" i="31"/>
  <c r="B11" i="31"/>
  <c r="H9" i="31"/>
  <c r="G9" i="31"/>
  <c r="F9" i="31"/>
  <c r="E9" i="31"/>
  <c r="D9" i="31"/>
  <c r="C9" i="31"/>
  <c r="B9" i="31"/>
  <c r="H7" i="31"/>
  <c r="F7" i="31"/>
  <c r="E7" i="31"/>
  <c r="D7" i="31"/>
  <c r="C7" i="31"/>
  <c r="B7" i="31"/>
  <c r="H5" i="31"/>
  <c r="G5" i="31"/>
  <c r="F5" i="31"/>
  <c r="D5" i="31"/>
  <c r="B5" i="31"/>
  <c r="H3" i="31"/>
  <c r="G3" i="31"/>
  <c r="F3" i="31"/>
  <c r="E3" i="31"/>
  <c r="D3" i="31"/>
  <c r="C3" i="31"/>
  <c r="B3" i="31"/>
  <c r="B1" i="31"/>
  <c r="B13" i="30"/>
  <c r="H11" i="30"/>
  <c r="G11" i="30"/>
  <c r="E11" i="30"/>
  <c r="D11" i="30"/>
  <c r="C11" i="30"/>
  <c r="B11" i="30"/>
  <c r="H9" i="30"/>
  <c r="G9" i="30"/>
  <c r="F9" i="30"/>
  <c r="E9" i="30"/>
  <c r="D9" i="30"/>
  <c r="C9" i="30"/>
  <c r="B9" i="30"/>
  <c r="H7" i="30"/>
  <c r="F7" i="30"/>
  <c r="E7" i="30"/>
  <c r="D7" i="30"/>
  <c r="C7" i="30"/>
  <c r="B7" i="30"/>
  <c r="H5" i="30"/>
  <c r="G5" i="30"/>
  <c r="F5" i="30"/>
  <c r="E5" i="30"/>
  <c r="D5" i="30"/>
  <c r="C5" i="30"/>
  <c r="B5" i="30"/>
  <c r="H3" i="30"/>
  <c r="G3" i="30"/>
  <c r="F3" i="30"/>
  <c r="E3" i="30"/>
  <c r="D3" i="30"/>
  <c r="C3" i="30"/>
  <c r="B3" i="30"/>
  <c r="B1" i="30"/>
  <c r="C13" i="29"/>
  <c r="B13" i="29"/>
  <c r="H11" i="29"/>
  <c r="G11" i="29"/>
  <c r="E11" i="29"/>
  <c r="D11" i="29"/>
  <c r="C11" i="29"/>
  <c r="B11" i="29"/>
  <c r="H9" i="29"/>
  <c r="G9" i="29"/>
  <c r="F9" i="29"/>
  <c r="E9" i="29"/>
  <c r="D9" i="29"/>
  <c r="B9" i="29"/>
  <c r="H7" i="29"/>
  <c r="G7" i="29"/>
  <c r="E7" i="29"/>
  <c r="D7" i="29"/>
  <c r="C7" i="29"/>
  <c r="B7" i="29"/>
  <c r="H5" i="29"/>
  <c r="G5" i="29"/>
  <c r="F5" i="29"/>
  <c r="E5" i="29"/>
  <c r="D5" i="29"/>
  <c r="C5" i="29"/>
  <c r="B5" i="29"/>
  <c r="H3" i="29"/>
  <c r="G3" i="29"/>
  <c r="F3" i="29"/>
  <c r="E3" i="29"/>
  <c r="D3" i="29"/>
  <c r="C3" i="29"/>
  <c r="B3" i="29"/>
  <c r="B1" i="29"/>
  <c r="B13" i="28"/>
  <c r="H11" i="28"/>
  <c r="G11" i="28"/>
  <c r="E11" i="28"/>
  <c r="D11" i="28"/>
  <c r="C11" i="28"/>
  <c r="B11" i="28"/>
  <c r="H9" i="28"/>
  <c r="G9" i="28"/>
  <c r="F9" i="28"/>
  <c r="C9" i="28"/>
  <c r="B9" i="28"/>
  <c r="H7" i="28"/>
  <c r="G7" i="28"/>
  <c r="F7" i="28"/>
  <c r="E7" i="28"/>
  <c r="D7" i="28"/>
  <c r="C7" i="28"/>
  <c r="B7" i="28"/>
  <c r="H5" i="28"/>
  <c r="G5" i="28"/>
  <c r="F5" i="28"/>
  <c r="E5" i="28"/>
  <c r="D5" i="28"/>
  <c r="B5" i="28"/>
  <c r="H3" i="28"/>
  <c r="G3" i="28"/>
  <c r="F3" i="28"/>
  <c r="E3" i="28"/>
  <c r="D3" i="28"/>
  <c r="C3" i="28"/>
  <c r="B3" i="28"/>
  <c r="C13" i="26"/>
  <c r="B13" i="26"/>
  <c r="H11" i="26"/>
  <c r="B11" i="26"/>
  <c r="H9" i="26"/>
  <c r="B9" i="26"/>
  <c r="H7" i="26"/>
  <c r="B7" i="26"/>
  <c r="H5" i="26"/>
  <c r="B5" i="26"/>
  <c r="H3" i="26"/>
  <c r="G3" i="26"/>
  <c r="F3" i="26"/>
  <c r="E3" i="26"/>
  <c r="D3" i="26"/>
  <c r="C3" i="26"/>
  <c r="B3" i="26"/>
  <c r="B1" i="26"/>
  <c r="B13" i="25"/>
  <c r="H11" i="25"/>
  <c r="F11" i="25"/>
  <c r="E11" i="25"/>
  <c r="C11" i="25"/>
  <c r="B11" i="25"/>
  <c r="H9" i="25"/>
  <c r="G9" i="25"/>
  <c r="F9" i="25"/>
  <c r="E9" i="25"/>
  <c r="D9" i="25"/>
  <c r="C9" i="25"/>
  <c r="B9" i="25"/>
  <c r="H7" i="25"/>
  <c r="F7" i="25"/>
  <c r="E7" i="25"/>
  <c r="D7" i="25"/>
  <c r="C7" i="25"/>
  <c r="B7" i="25"/>
  <c r="H5" i="25"/>
  <c r="G5" i="25"/>
  <c r="F5" i="25"/>
  <c r="E5" i="25"/>
  <c r="D5" i="25"/>
  <c r="C5" i="25"/>
  <c r="B5" i="25"/>
  <c r="H3" i="25"/>
  <c r="G3" i="25"/>
  <c r="F3" i="25"/>
  <c r="E3" i="25"/>
  <c r="D3" i="25"/>
  <c r="C3" i="25"/>
  <c r="B3" i="25"/>
  <c r="B1" i="25"/>
  <c r="C13" i="24"/>
  <c r="B13" i="24"/>
  <c r="H11" i="24"/>
  <c r="G11" i="24"/>
  <c r="F11" i="24"/>
  <c r="D11" i="24"/>
  <c r="C11" i="24"/>
  <c r="B11" i="24"/>
  <c r="H9" i="24"/>
  <c r="F9" i="24"/>
  <c r="E9" i="24"/>
  <c r="D9" i="24"/>
  <c r="C9" i="24"/>
  <c r="B9" i="24"/>
  <c r="H7" i="24"/>
  <c r="G7" i="24"/>
  <c r="F7" i="24"/>
  <c r="E7" i="24"/>
  <c r="D7" i="24"/>
  <c r="C7" i="24"/>
  <c r="B7" i="24"/>
  <c r="H5" i="24"/>
  <c r="G5" i="24"/>
  <c r="F5" i="24"/>
  <c r="E5" i="24"/>
  <c r="D5" i="24"/>
  <c r="C5" i="24"/>
  <c r="B5" i="24"/>
  <c r="H3" i="24"/>
  <c r="G3" i="24"/>
  <c r="F3" i="24"/>
  <c r="E3" i="24"/>
  <c r="D3" i="24"/>
  <c r="C3" i="24"/>
  <c r="B3" i="24"/>
  <c r="B1" i="24"/>
  <c r="B13" i="22"/>
  <c r="H11" i="22"/>
  <c r="G11" i="22"/>
  <c r="F11" i="22"/>
  <c r="E11" i="22"/>
  <c r="D11" i="22"/>
  <c r="C11" i="22"/>
  <c r="B11" i="22"/>
  <c r="H9" i="22"/>
  <c r="G9" i="22"/>
  <c r="F9" i="22"/>
  <c r="E9" i="22"/>
  <c r="D9" i="22"/>
  <c r="C9" i="22"/>
  <c r="B9" i="22"/>
  <c r="H7" i="22"/>
  <c r="G7" i="22"/>
  <c r="F7" i="22"/>
  <c r="E7" i="22"/>
  <c r="D7" i="22"/>
  <c r="C7" i="22"/>
  <c r="B7" i="22"/>
  <c r="H5" i="22"/>
  <c r="G5" i="22"/>
  <c r="F5" i="22"/>
  <c r="E5" i="22"/>
  <c r="D5" i="22"/>
  <c r="C5" i="22"/>
  <c r="B5" i="22"/>
  <c r="H3" i="22"/>
  <c r="G3" i="22"/>
  <c r="F3" i="22"/>
  <c r="E3" i="22"/>
  <c r="D3" i="22"/>
  <c r="C3" i="22"/>
  <c r="B3" i="22"/>
  <c r="B1" i="22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8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3" i="19"/>
  <c r="G3" i="19"/>
  <c r="F3" i="19"/>
  <c r="E3" i="19"/>
  <c r="D3" i="19"/>
  <c r="C3" i="19"/>
  <c r="B3" i="19"/>
  <c r="C13" i="20"/>
  <c r="B13" i="20"/>
  <c r="H11" i="20"/>
  <c r="G11" i="20"/>
  <c r="F11" i="20"/>
  <c r="E11" i="20"/>
  <c r="D11" i="20"/>
  <c r="C11" i="20"/>
  <c r="B11" i="20"/>
  <c r="H9" i="20"/>
  <c r="G9" i="20"/>
  <c r="F9" i="20"/>
  <c r="E9" i="20"/>
  <c r="D9" i="20"/>
  <c r="C9" i="20"/>
  <c r="B9" i="20"/>
  <c r="H7" i="20"/>
  <c r="G7" i="20"/>
  <c r="F7" i="20"/>
  <c r="E7" i="20"/>
  <c r="D7" i="20"/>
  <c r="C7" i="20"/>
  <c r="B7" i="20"/>
  <c r="H5" i="20"/>
  <c r="G5" i="20"/>
  <c r="F5" i="20"/>
  <c r="E5" i="20"/>
  <c r="D5" i="20"/>
  <c r="C5" i="20"/>
  <c r="B5" i="20"/>
  <c r="H3" i="20"/>
  <c r="G3" i="20"/>
  <c r="F3" i="20"/>
  <c r="E3" i="20"/>
  <c r="D3" i="20"/>
  <c r="C3" i="20"/>
  <c r="B3" i="20"/>
  <c r="B1" i="20"/>
  <c r="B1" i="19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B9" i="14"/>
  <c r="C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F3" i="14"/>
  <c r="B3" i="14"/>
  <c r="H3" i="14"/>
  <c r="G3" i="14"/>
  <c r="E3" i="14"/>
  <c r="D3" i="14"/>
  <c r="C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 </author>
  </authors>
  <commentList>
    <comment ref="F2" authorId="0" shapeId="0" xr:uid="{00000000-0006-0000-0C00-000001000000}">
      <text>
        <r>
          <rPr>
            <b/>
            <sz val="9"/>
            <color indexed="81"/>
            <rFont val="Geneva"/>
          </rPr>
          <t>This list populates the options that appear in the pop-up list for the year on the January sheet. To add additional years, begin typing in the cell directly beneath the last existing entry and the list will automatically expand.</t>
        </r>
      </text>
    </comment>
  </commentList>
</comments>
</file>

<file path=xl/sharedStrings.xml><?xml version="1.0" encoding="utf-8"?>
<sst xmlns="http://schemas.openxmlformats.org/spreadsheetml/2006/main" count="341" uniqueCount="253">
  <si>
    <t>Sunday</t>
  </si>
  <si>
    <t>Monday</t>
  </si>
  <si>
    <t>Tuesday</t>
  </si>
  <si>
    <t>Wednesday</t>
  </si>
  <si>
    <t>Thursday</t>
  </si>
  <si>
    <t>Friday</t>
  </si>
  <si>
    <t>Saturday</t>
  </si>
  <si>
    <t>Year</t>
  </si>
  <si>
    <t>Notes:</t>
  </si>
  <si>
    <t>Notes</t>
  </si>
  <si>
    <t>Select
Year:</t>
  </si>
  <si>
    <t>Sample text.</t>
  </si>
  <si>
    <r>
      <t xml:space="preserve">Container Mades 
Sandra congé
</t>
    </r>
    <r>
      <rPr>
        <sz val="10"/>
        <color rgb="FF00B050"/>
        <rFont val="Century Gothic"/>
        <family val="2"/>
        <scheme val="minor"/>
      </rPr>
      <t>181005 - L - Sola Didact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181024 - M2 - WW - VD
1 - M2 - Declemy - VD</t>
    </r>
  </si>
  <si>
    <r>
      <rPr>
        <sz val="10"/>
        <color rgb="FFFF0000"/>
        <rFont val="Century Gothic"/>
        <family val="2"/>
        <scheme val="minor"/>
      </rPr>
      <t xml:space="preserve">181005 - M2 - Implenia - VD
181030 - M1 - Braillard - VD
</t>
    </r>
    <r>
      <rPr>
        <sz val="10"/>
        <color rgb="FF00B050"/>
        <rFont val="Century Gothic"/>
        <family val="2"/>
        <scheme val="minor"/>
      </rPr>
      <t>190000 - L - Ropraz - FR</t>
    </r>
    <r>
      <rPr>
        <sz val="10"/>
        <color theme="1" tint="0.249977111117893"/>
        <rFont val="Century Gothic"/>
        <family val="2"/>
        <scheme val="minor"/>
      </rPr>
      <t xml:space="preserve">
Sandra congé</t>
    </r>
  </si>
  <si>
    <r>
      <rPr>
        <sz val="10"/>
        <color rgb="FF00B050"/>
        <rFont val="Century Gothic"/>
        <family val="2"/>
        <scheme val="minor"/>
      </rPr>
      <t>190002 - L - Fun Body - VD</t>
    </r>
    <r>
      <rPr>
        <sz val="10"/>
        <color theme="1" tint="0.249977111117893"/>
        <rFont val="Century Gothic"/>
        <family val="2"/>
        <scheme val="minor"/>
      </rPr>
      <t xml:space="preserve">
Sandra congé</t>
    </r>
  </si>
  <si>
    <r>
      <rPr>
        <sz val="10"/>
        <color rgb="FF00B050"/>
        <rFont val="Century Gothic"/>
        <family val="2"/>
        <scheme val="minor"/>
      </rPr>
      <t>190003 - L - Semo - NE</t>
    </r>
    <r>
      <rPr>
        <sz val="10"/>
        <color theme="1" tint="0.249977111117893"/>
        <rFont val="Century Gothic"/>
        <family val="2"/>
        <scheme val="minor"/>
      </rPr>
      <t xml:space="preserve">
Sandra congé</t>
    </r>
  </si>
  <si>
    <r>
      <t xml:space="preserve">Sandra congé
</t>
    </r>
    <r>
      <rPr>
        <sz val="10"/>
        <color rgb="FFFF0000"/>
        <rFont val="Century Gothic"/>
        <family val="2"/>
        <scheme val="minor"/>
      </rPr>
      <t xml:space="preserve">367 - Récupération - Cameca </t>
    </r>
    <r>
      <rPr>
        <sz val="10"/>
        <color rgb="FF00B050"/>
        <rFont val="Century Gothic"/>
        <family val="2"/>
        <scheme val="minor"/>
      </rPr>
      <t>180922 - L - Cameca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181027 - L - Stirnimann - LU 10.00
181020 - L - WL Bau - LU
</t>
    </r>
    <r>
      <rPr>
        <sz val="10"/>
        <color rgb="FFFF0000"/>
        <rFont val="Century Gothic"/>
        <family val="2"/>
        <scheme val="minor"/>
      </rPr>
      <t xml:space="preserve">376 - SAV - Infratunnel
</t>
    </r>
    <r>
      <rPr>
        <sz val="10"/>
        <color rgb="FF0070C0"/>
        <rFont val="Century Gothic"/>
        <family val="2"/>
        <scheme val="minor"/>
      </rPr>
      <t>190012 - R - Marti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Arrivage Narbutas</t>
    </r>
  </si>
  <si>
    <r>
      <rPr>
        <sz val="10"/>
        <color rgb="FFFF0000"/>
        <rFont val="Century Gothic"/>
        <family val="2"/>
        <scheme val="minor"/>
      </rPr>
      <t xml:space="preserve">190008 - M2 - Mino - VD
</t>
    </r>
    <r>
      <rPr>
        <sz val="10"/>
        <color rgb="FF00B050"/>
        <rFont val="Century Gothic"/>
        <family val="2"/>
        <scheme val="minor"/>
      </rPr>
      <t>377 - SAV - Fun Body</t>
    </r>
    <r>
      <rPr>
        <sz val="10"/>
        <color rgb="FFFF0000"/>
        <rFont val="Century Gothic"/>
        <family val="2"/>
        <scheme val="minor"/>
      </rPr>
      <t xml:space="preserve">
180983 - M2 - CMLO - VD
</t>
    </r>
    <r>
      <rPr>
        <sz val="10"/>
        <color rgb="FF00B050"/>
        <rFont val="Century Gothic"/>
        <family val="2"/>
        <scheme val="minor"/>
      </rPr>
      <t xml:space="preserve">180986 - L - Ropraz - VD
</t>
    </r>
    <r>
      <rPr>
        <sz val="10"/>
        <color rgb="FFFF0000"/>
        <rFont val="Century Gothic"/>
        <family val="2"/>
        <scheme val="minor"/>
      </rPr>
      <t>190014 - M2 - Eberli - ZG 13.00</t>
    </r>
  </si>
  <si>
    <r>
      <rPr>
        <sz val="10"/>
        <color rgb="FF7030A0"/>
        <rFont val="Century Gothic"/>
        <family val="2"/>
        <scheme val="minor"/>
      </rPr>
      <t>190015 - F - Mined'or</t>
    </r>
    <r>
      <rPr>
        <sz val="10"/>
        <color rgb="FFFF0000"/>
        <rFont val="Century Gothic"/>
        <family val="2"/>
        <scheme val="minor"/>
      </rPr>
      <t xml:space="preserve">
181023 - M2 - Estee Lauder - ZH
</t>
    </r>
    <r>
      <rPr>
        <sz val="10"/>
        <color rgb="FF0070C0"/>
        <rFont val="Century Gothic"/>
        <family val="2"/>
        <scheme val="minor"/>
      </rPr>
      <t>190011 - R - GZ Store</t>
    </r>
  </si>
  <si>
    <t>Arrivage 2 containers MADES
190009 - F - Frutiger</t>
  </si>
  <si>
    <r>
      <rPr>
        <sz val="10"/>
        <color rgb="FF00B050"/>
        <rFont val="Century Gothic"/>
        <family val="2"/>
        <scheme val="minor"/>
      </rPr>
      <t xml:space="preserve">190007 - L - CSC - VD
190013 - L - Implenia - VS
</t>
    </r>
    <r>
      <rPr>
        <sz val="10"/>
        <color rgb="FF0070C0"/>
        <rFont val="Century Gothic"/>
        <family val="2"/>
        <scheme val="minor"/>
      </rPr>
      <t xml:space="preserve">190021 - R - Marti </t>
    </r>
    <r>
      <rPr>
        <sz val="10"/>
        <color theme="1" tint="0.249977111117893"/>
        <rFont val="Century Gothic"/>
        <family val="2"/>
        <scheme val="minor"/>
      </rPr>
      <t xml:space="preserve">
Laurent congé</t>
    </r>
  </si>
  <si>
    <r>
      <rPr>
        <sz val="10"/>
        <color rgb="FF0070C0"/>
        <rFont val="Century Gothic"/>
        <family val="2"/>
        <scheme val="minor"/>
      </rPr>
      <t>180825 - R - Orllati</t>
    </r>
    <r>
      <rPr>
        <sz val="10"/>
        <color rgb="FF00B050"/>
        <rFont val="Century Gothic"/>
        <family val="2"/>
        <scheme val="minor"/>
      </rPr>
      <t xml:space="preserve">
190029 - L - Jaximmo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180852 - M1 - ERNE - VD</t>
    </r>
    <r>
      <rPr>
        <sz val="10"/>
        <color theme="1" tint="0.249977111117893"/>
        <rFont val="Century Gothic"/>
        <family val="2"/>
        <scheme val="minor"/>
      </rPr>
      <t xml:space="preserve">
1782 - Landi
</t>
    </r>
    <r>
      <rPr>
        <sz val="10"/>
        <color rgb="FF00B050"/>
        <rFont val="Century Gothic"/>
        <family val="2"/>
        <scheme val="minor"/>
      </rPr>
      <t>190023 - L - Perret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190024 - L - Maulini - GE</t>
    </r>
  </si>
  <si>
    <r>
      <t xml:space="preserve">190030 - F - Perret
</t>
    </r>
    <r>
      <rPr>
        <sz val="10"/>
        <color rgb="FF00B050"/>
        <rFont val="Century Gothic"/>
        <family val="2"/>
        <scheme val="minor"/>
      </rPr>
      <t xml:space="preserve">190031 - L - Marti - VD
</t>
    </r>
    <r>
      <rPr>
        <sz val="10"/>
        <color rgb="FF0070C0"/>
        <rFont val="Century Gothic"/>
        <family val="2"/>
        <scheme val="minor"/>
      </rPr>
      <t xml:space="preserve">190022 - R - Estee Lauder
</t>
    </r>
    <r>
      <rPr>
        <sz val="10"/>
        <rFont val="Century Gothic"/>
        <family val="2"/>
        <scheme val="minor"/>
      </rPr>
      <t xml:space="preserve">1786 - Prodega
</t>
    </r>
    <r>
      <rPr>
        <sz val="10"/>
        <color rgb="FF00B050"/>
        <rFont val="Century Gothic"/>
        <family val="2"/>
        <scheme val="minor"/>
      </rPr>
      <t>190035 - L - Banos - VD
190028 - L - Frutiger - BE
368 - L - Alho - LU
190035 - L - Riedo - FR</t>
    </r>
  </si>
  <si>
    <r>
      <t>190037 - M1 - Ecole Sofia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190039 - F - Perret</t>
    </r>
  </si>
  <si>
    <r>
      <t xml:space="preserve">7 - NC - Steiner - VD
</t>
    </r>
    <r>
      <rPr>
        <sz val="10"/>
        <color rgb="FF0070C0"/>
        <rFont val="Century Gothic"/>
        <family val="2"/>
        <scheme val="minor"/>
      </rPr>
      <t>190041 - R - Marti</t>
    </r>
  </si>
  <si>
    <r>
      <t xml:space="preserve">190006 - M2 - Losinger - VD
</t>
    </r>
    <r>
      <rPr>
        <sz val="10"/>
        <color rgb="FF00B050"/>
        <rFont val="Century Gothic"/>
        <family val="2"/>
        <scheme val="minor"/>
      </rPr>
      <t>190042 - L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190040 - L - Avesco - FR
190043 - L - JPF - FR
190046 - L - Grisoni - FR
</t>
    </r>
    <r>
      <rPr>
        <sz val="10"/>
        <color rgb="FF0070C0"/>
        <rFont val="Century Gothic"/>
        <family val="2"/>
        <scheme val="minor"/>
      </rPr>
      <t>190052 - R - Perrin
190053 - R - TTT</t>
    </r>
  </si>
  <si>
    <r>
      <t xml:space="preserve">181026 - M2 - Orllati - VD
180998 - M2 - Mino - VD
</t>
    </r>
    <r>
      <rPr>
        <sz val="10"/>
        <color rgb="FF0070C0"/>
        <rFont val="Century Gothic"/>
        <family val="2"/>
        <scheme val="minor"/>
      </rPr>
      <t xml:space="preserve">190056 - R - Marti
190059 - Gay-Balmaz
</t>
    </r>
    <r>
      <rPr>
        <sz val="10"/>
        <color rgb="FF00B050"/>
        <rFont val="Century Gothic"/>
        <family val="2"/>
        <scheme val="minor"/>
      </rPr>
      <t>190063 - L - Frutiger - VD</t>
    </r>
  </si>
  <si>
    <r>
      <t xml:space="preserve">190045 - L - Implenia - VS
180994 - L - SEMO - VD
190047 - L - Stirnimann - LU
190051 - L - Frutiger - ZH
</t>
    </r>
    <r>
      <rPr>
        <sz val="10"/>
        <color rgb="FF7030A0"/>
        <rFont val="Century Gothic"/>
        <family val="2"/>
        <scheme val="minor"/>
      </rPr>
      <t>190054 - F - Herat</t>
    </r>
  </si>
  <si>
    <r>
      <t xml:space="preserve">190062 - L - Antiglio - FR
190067 - L - Grisoni - FR
190058 - L - Frutiger - BE
380 - récup - Frutiger - BE
</t>
    </r>
    <r>
      <rPr>
        <sz val="10"/>
        <color theme="1"/>
        <rFont val="Century Gothic"/>
        <family val="2"/>
        <scheme val="minor"/>
      </rPr>
      <t>1794 - Récup. Landi</t>
    </r>
    <r>
      <rPr>
        <sz val="10"/>
        <color rgb="FF00B050"/>
        <rFont val="Century Gothic"/>
        <family val="2"/>
        <scheme val="minor"/>
      </rPr>
      <t xml:space="preserve">
190049 - L - Marti - GE
190057 - L - Perret - GE
</t>
    </r>
    <r>
      <rPr>
        <sz val="10"/>
        <color rgb="FF0070C0"/>
        <rFont val="Century Gothic"/>
        <family val="2"/>
        <scheme val="minor"/>
      </rPr>
      <t xml:space="preserve">190069 - R - Orllati
</t>
    </r>
    <r>
      <rPr>
        <sz val="10"/>
        <color rgb="FF00B050"/>
        <rFont val="Century Gothic"/>
        <family val="2"/>
        <scheme val="minor"/>
      </rPr>
      <t>190066 - L - Frutiger - VD</t>
    </r>
  </si>
  <si>
    <r>
      <t xml:space="preserve">
</t>
    </r>
    <r>
      <rPr>
        <sz val="10"/>
        <color rgb="FF0070C0"/>
        <rFont val="Century Gothic"/>
        <family val="2"/>
        <scheme val="minor"/>
      </rPr>
      <t xml:space="preserve">190070 - R - Orllati
190071 - R - Implenia
</t>
    </r>
    <r>
      <rPr>
        <sz val="10"/>
        <color rgb="FF00B050"/>
        <rFont val="Century Gothic"/>
        <family val="2"/>
        <scheme val="minor"/>
      </rPr>
      <t>180974 - L - Ledixa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</si>
  <si>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190038 - L - Frutiger - BE
190016 - L - CSC - VD
</t>
    </r>
    <r>
      <rPr>
        <sz val="10"/>
        <color rgb="FFFF0000"/>
        <rFont val="Century Gothic"/>
        <family val="2"/>
        <scheme val="minor"/>
      </rPr>
      <t>180989 - M2 - Knecht - BS
190073 - M2 - ARGE - ZH</t>
    </r>
  </si>
  <si>
    <r>
      <t>190020 - M2 - Riedo - SO</t>
    </r>
    <r>
      <rPr>
        <b/>
        <sz val="10"/>
        <color rgb="FFFF0000"/>
        <rFont val="Century Gothic"/>
        <family val="2"/>
        <scheme val="minor"/>
      </rPr>
      <t xml:space="preserve"> 8.00!!!!
</t>
    </r>
    <r>
      <rPr>
        <sz val="10"/>
        <color rgb="FF00B050"/>
        <rFont val="Century Gothic"/>
        <family val="2"/>
        <scheme val="minor"/>
      </rPr>
      <t xml:space="preserve">190001 - L - Ropraz - FR
</t>
    </r>
    <r>
      <rPr>
        <sz val="10"/>
        <color rgb="FF7030A0"/>
        <rFont val="Century Gothic"/>
        <family val="2"/>
        <scheme val="minor"/>
      </rPr>
      <t>190074 - F - JPF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381 - Frutiger - VD</t>
    </r>
  </si>
  <si>
    <r>
      <t xml:space="preserve">
</t>
    </r>
    <r>
      <rPr>
        <sz val="10"/>
        <color rgb="FFFF0000"/>
        <rFont val="Century Gothic"/>
        <family val="2"/>
        <scheme val="minor"/>
      </rPr>
      <t>190010 - M2 - Reno - VD</t>
    </r>
  </si>
  <si>
    <r>
      <rPr>
        <sz val="10"/>
        <color rgb="FF00B050"/>
        <rFont val="Century Gothic"/>
        <family val="2"/>
        <scheme val="minor"/>
      </rPr>
      <t xml:space="preserve">190076 - L - Semo - VD
</t>
    </r>
    <r>
      <rPr>
        <sz val="10"/>
        <color rgb="FFFF0000"/>
        <rFont val="Century Gothic"/>
        <family val="2"/>
        <scheme val="minor"/>
      </rPr>
      <t xml:space="preserve">190055 - M1 - Halter - VD
190018 - M1 - Mino - VD
</t>
    </r>
    <r>
      <rPr>
        <sz val="10"/>
        <color rgb="FF0070C0"/>
        <rFont val="Century Gothic"/>
        <family val="2"/>
        <scheme val="minor"/>
      </rPr>
      <t>190079 - Sertivision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181035 - L - Equipement PRO - VD
190077 - L - EVAM - VD
</t>
    </r>
    <r>
      <rPr>
        <sz val="10"/>
        <color rgb="FFFF0000"/>
        <rFont val="Century Gothic"/>
        <family val="2"/>
        <scheme val="minor"/>
      </rPr>
      <t xml:space="preserve">190010 - M2 - Reno - VD
</t>
    </r>
    <r>
      <rPr>
        <sz val="10"/>
        <rFont val="Century Gothic"/>
        <family val="2"/>
        <scheme val="minor"/>
      </rPr>
      <t xml:space="preserve">1908 - Récup - Landi - VD
1799 + 1810 - Récup - Pappy John 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</si>
  <si>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Nabutas
</t>
    </r>
    <r>
      <rPr>
        <sz val="10"/>
        <color rgb="FFFF0000"/>
        <rFont val="Century Gothic"/>
        <family val="2"/>
        <scheme val="minor"/>
      </rPr>
      <t>190065 - M2 - Sofia - VD
190010 - M2 - Reno - VD
190088 - M2 - Reno - VD</t>
    </r>
    <r>
      <rPr>
        <sz val="10"/>
        <color rgb="FF7030A0"/>
        <rFont val="Century Gothic"/>
        <family val="2"/>
        <scheme val="minor"/>
      </rPr>
      <t xml:space="preserve">
190084 - F - Ferroflex
</t>
    </r>
    <r>
      <rPr>
        <sz val="10"/>
        <color rgb="FF0070C0"/>
        <rFont val="Century Gothic"/>
        <family val="2"/>
        <scheme val="minor"/>
      </rPr>
      <t>190092 - Implenia
190093 - Orllati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</si>
  <si>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190010 - M2 - Reno - VD
</t>
    </r>
    <r>
      <rPr>
        <sz val="10"/>
        <color rgb="FF0070C0"/>
        <rFont val="Century Gothic"/>
        <family val="2"/>
        <scheme val="minor"/>
      </rPr>
      <t>190100 - R - Zed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190108 - L - Zed - VD</t>
    </r>
  </si>
  <si>
    <r>
      <rPr>
        <sz val="10"/>
        <color rgb="FF00B050"/>
        <rFont val="Century Gothic"/>
        <family val="2"/>
        <scheme val="minor"/>
      </rPr>
      <t>190087 - L - Eco-Services - FR
190081 - L - Riedo - FR</t>
    </r>
    <r>
      <rPr>
        <sz val="10"/>
        <color rgb="FFFF0000"/>
        <rFont val="Century Gothic"/>
        <family val="2"/>
        <scheme val="minor"/>
      </rPr>
      <t xml:space="preserve">
190082 - M2 - Riedo- BE 
</t>
    </r>
    <r>
      <rPr>
        <sz val="10"/>
        <color rgb="FF00B050"/>
        <rFont val="Century Gothic"/>
        <family val="2"/>
        <scheme val="minor"/>
      </rPr>
      <t xml:space="preserve">190004 - L - Semo - NE
</t>
    </r>
    <r>
      <rPr>
        <sz val="10"/>
        <color rgb="FFFF0000"/>
        <rFont val="Century Gothic"/>
        <family val="2"/>
        <scheme val="minor"/>
      </rPr>
      <t xml:space="preserve">190005 - M2 - Mino - VD
</t>
    </r>
  </si>
  <si>
    <r>
      <t xml:space="preserve">Arrivage Mades 7h30
</t>
    </r>
    <r>
      <rPr>
        <sz val="10"/>
        <color rgb="FFFF0000"/>
        <rFont val="Century Gothic"/>
        <family val="2"/>
        <scheme val="minor"/>
      </rPr>
      <t xml:space="preserve">181017 - M2 - Simond - VD
</t>
    </r>
    <r>
      <rPr>
        <sz val="10"/>
        <color rgb="FF00B050"/>
        <rFont val="Century Gothic"/>
        <family val="2"/>
        <scheme val="minor"/>
      </rPr>
      <t>190101 - L - Perrin - VD
190102 - L - Perrin - VD</t>
    </r>
    <r>
      <rPr>
        <sz val="10"/>
        <rFont val="Century Gothic"/>
        <family val="2"/>
        <scheme val="minor"/>
      </rPr>
      <t xml:space="preserve">
1813 - Récup - Landi - VD
1816 - Récup - Prodega - VD
</t>
    </r>
    <r>
      <rPr>
        <sz val="10"/>
        <color rgb="FF00B050"/>
        <rFont val="Century Gothic"/>
        <family val="2"/>
        <scheme val="minor"/>
      </rPr>
      <t>190096 - L - ECM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190115 - Piemontesi - NE
190125 - Implenia - VD</t>
    </r>
    <r>
      <rPr>
        <sz val="10"/>
        <rFont val="Century Gothic"/>
        <family val="2"/>
        <scheme val="minor"/>
      </rPr>
      <t xml:space="preserve">
</t>
    </r>
  </si>
  <si>
    <r>
      <t xml:space="preserve">190044 - 190089 - 190090 - L - Riedo - FR
</t>
    </r>
    <r>
      <rPr>
        <sz val="10"/>
        <rFont val="Century Gothic"/>
        <family val="2"/>
        <scheme val="minor"/>
      </rPr>
      <t xml:space="preserve">1815 - Récup - Equipement Pro - FR
</t>
    </r>
    <r>
      <rPr>
        <sz val="10"/>
        <color rgb="FF00B050"/>
        <rFont val="Century Gothic"/>
        <family val="2"/>
        <scheme val="minor"/>
      </rPr>
      <t xml:space="preserve">190098 - L - Reno - VD
</t>
    </r>
    <r>
      <rPr>
        <sz val="10"/>
        <color rgb="FF0070C0"/>
        <rFont val="Century Gothic"/>
        <family val="2"/>
        <scheme val="minor"/>
      </rPr>
      <t xml:space="preserve">190104 - L - Knecht - BL
190017 - L - Jäggi - Zü 
</t>
    </r>
    <r>
      <rPr>
        <sz val="10"/>
        <color rgb="FF00B050"/>
        <rFont val="Century Gothic"/>
        <family val="2"/>
        <scheme val="minor"/>
      </rPr>
      <t xml:space="preserve">190120 - L - ZED - VD
386 - Riedo - L - BE
190122 - L - Grisoni - FR
190095 - L - Camandona- VD
190124 - L - Implenia - VD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</si>
  <si>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190103 - L - Petite épicerie - GE
190109 - L - Piasio - GE
190091 - L - OCVS - VS
190126 - L - Fun Body - VD
387 - L - Fun Body - VD
190094 - L - Jaquet - VD
</t>
    </r>
    <r>
      <rPr>
        <sz val="10"/>
        <color rgb="FF0070C0"/>
        <rFont val="Century Gothic"/>
        <family val="2"/>
        <scheme val="minor"/>
      </rPr>
      <t>190032 - L - Frutiger - BE
190104 - L - Knecht - BL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</si>
  <si>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190118 - L - Evam - VD
</t>
    </r>
    <r>
      <rPr>
        <sz val="10"/>
        <color rgb="FFFF0000"/>
        <rFont val="Century Gothic"/>
        <family val="2"/>
        <scheme val="minor"/>
      </rPr>
      <t xml:space="preserve">190010 - M1 - Reno - VD
</t>
    </r>
    <r>
      <rPr>
        <sz val="10"/>
        <color rgb="FF00B050"/>
        <rFont val="Century Gothic"/>
        <family val="2"/>
        <scheme val="minor"/>
      </rPr>
      <t xml:space="preserve">181034 - L - Canplast - VD
190132 - L - Orllati - VD
</t>
    </r>
    <r>
      <rPr>
        <sz val="10"/>
        <color rgb="FFFF0000"/>
        <rFont val="Century Gothic"/>
        <family val="2"/>
        <scheme val="minor"/>
      </rPr>
      <t>190036 - M1 - Losinger - VD</t>
    </r>
    <r>
      <rPr>
        <sz val="10"/>
        <color rgb="FF00B050"/>
        <rFont val="Century Gothic"/>
        <family val="2"/>
        <scheme val="minor"/>
      </rPr>
      <t xml:space="preserve">
388 - L - Evam - VD</t>
    </r>
  </si>
  <si>
    <t>180932 - M2 - Fagsi - BL
190133 - M1 - Steiner - ZU</t>
  </si>
  <si>
    <r>
      <rPr>
        <sz val="10"/>
        <color rgb="FF00B050"/>
        <rFont val="Century Gothic"/>
        <family val="2"/>
        <scheme val="minor"/>
      </rPr>
      <t>190127 - L - JPF - FR</t>
    </r>
    <r>
      <rPr>
        <sz val="10"/>
        <color rgb="FFFF0000"/>
        <rFont val="Century Gothic"/>
        <family val="2"/>
        <scheme val="minor"/>
      </rPr>
      <t xml:space="preserve">
190136 - M - Riedo - BE
</t>
    </r>
  </si>
  <si>
    <r>
      <rPr>
        <sz val="10"/>
        <color rgb="FFFF0000"/>
        <rFont val="Century Gothic"/>
        <family val="2"/>
        <scheme val="minor"/>
      </rPr>
      <t>190119 -  M1 - HRS - JU
190151 - M2 - Arge - ZU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</si>
  <si>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190085 - M2 - Halter - Grand-Lancy
</t>
    </r>
    <r>
      <rPr>
        <sz val="10"/>
        <color rgb="FF00B050"/>
        <rFont val="Century Gothic"/>
        <family val="2"/>
        <scheme val="minor"/>
      </rPr>
      <t>190146 - L - HRS - GE
181009 - L - Marti - GE
190068 - L - Marti - GE
190152 - L - Nasca - VD
190158 - L - Orllati - VD
190157 - L - ECM - VD</t>
    </r>
    <r>
      <rPr>
        <sz val="10"/>
        <color rgb="FF0070C0"/>
        <rFont val="Century Gothic"/>
        <family val="2"/>
        <scheme val="minor"/>
      </rPr>
      <t xml:space="preserve">
</t>
    </r>
  </si>
  <si>
    <t>190175 - M3 - Steiner - ZH
190169 - M1 - Riedo - ZH</t>
  </si>
  <si>
    <r>
      <rPr>
        <sz val="10"/>
        <color rgb="FFFF0000"/>
        <rFont val="Century Gothic"/>
        <family val="2"/>
        <scheme val="minor"/>
      </rPr>
      <t xml:space="preserve">190138 - M1 - Boxplay - VD
</t>
    </r>
    <r>
      <rPr>
        <sz val="10"/>
        <color theme="1"/>
        <rFont val="Century Gothic"/>
        <family val="2"/>
        <scheme val="minor"/>
      </rPr>
      <t xml:space="preserve">1840 - Récup - Equipement Pro - FR
</t>
    </r>
    <r>
      <rPr>
        <sz val="10"/>
        <color rgb="FF00B050"/>
        <rFont val="Century Gothic"/>
        <family val="2"/>
        <scheme val="minor"/>
      </rPr>
      <t xml:space="preserve">190159 - L - Eco Services - FR
</t>
    </r>
    <r>
      <rPr>
        <sz val="10"/>
        <color rgb="FF0070C0"/>
        <rFont val="Century Gothic"/>
        <family val="2"/>
        <scheme val="minor"/>
      </rPr>
      <t>190153 - R - MGC - Romanel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</si>
  <si>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180893 - M2 - HRS - VD
</t>
    </r>
    <r>
      <rPr>
        <sz val="10"/>
        <color rgb="FF00B050"/>
        <rFont val="Century Gothic"/>
        <family val="2"/>
        <scheme val="minor"/>
      </rPr>
      <t>190114 - L - Belloni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10 - L - Belloni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190135 - L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2060"/>
        <rFont val="Century Gothic"/>
        <family val="2"/>
        <scheme val="minor"/>
      </rPr>
      <t>1834 - Prodega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Rétripa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</si>
  <si>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190154 - L - Jaquet - VD
190148 - L - Pury - VD
</t>
    </r>
    <r>
      <rPr>
        <sz val="10"/>
        <color theme="1"/>
        <rFont val="Century Gothic"/>
        <family val="2"/>
        <scheme val="minor"/>
      </rPr>
      <t xml:space="preserve">1839 - Landi
</t>
    </r>
    <r>
      <rPr>
        <sz val="10"/>
        <color rgb="FF0070C0"/>
        <rFont val="Century Gothic"/>
        <family val="2"/>
        <scheme val="minor"/>
      </rPr>
      <t>190168 - R - Marti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</si>
  <si>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>190143 - R - Implenia</t>
    </r>
    <r>
      <rPr>
        <sz val="10"/>
        <color rgb="FFFF0000"/>
        <rFont val="Century Gothic"/>
        <family val="2"/>
        <scheme val="minor"/>
      </rPr>
      <t xml:space="preserve">
180893 - M2 - HRS - VD
</t>
    </r>
    <r>
      <rPr>
        <sz val="10"/>
        <color rgb="FF00B050"/>
        <rFont val="Century Gothic"/>
        <family val="2"/>
        <scheme val="minor"/>
      </rPr>
      <t xml:space="preserve">190139 - L - Frutiger - VS
190140 - L - Implenia - VS
</t>
    </r>
    <r>
      <rPr>
        <sz val="10"/>
        <color rgb="FF0070C0"/>
        <rFont val="Century Gothic"/>
        <family val="2"/>
        <scheme val="minor"/>
      </rPr>
      <t xml:space="preserve">190145 - R - Implenia - VD </t>
    </r>
  </si>
  <si>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190107 - L - Frutiger - VD
190150 - L - EMS Novalles - VD
190179 - L - EMS Novalles - VD
</t>
    </r>
    <r>
      <rPr>
        <sz val="10"/>
        <rFont val="Century Gothic"/>
        <family val="2"/>
        <scheme val="minor"/>
      </rPr>
      <t xml:space="preserve">ARRIVAGE AMF
</t>
    </r>
    <r>
      <rPr>
        <sz val="10"/>
        <color theme="1"/>
        <rFont val="Century Gothic"/>
        <family val="2"/>
        <scheme val="minor"/>
      </rPr>
      <t>1836 - R - Prodega
1846 - R - Landi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</si>
  <si>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7030A0"/>
        <rFont val="Century Gothic"/>
        <family val="2"/>
        <scheme val="minor"/>
      </rPr>
      <t xml:space="preserve">190172 - F - Membrez
190180 - F - EMS Novalles
</t>
    </r>
    <r>
      <rPr>
        <sz val="10"/>
        <color rgb="FF00B050"/>
        <rFont val="Century Gothic"/>
        <family val="2"/>
        <scheme val="minor"/>
      </rPr>
      <t>190178 - L - Banos - VD
190188 - L - Frutiger - BE</t>
    </r>
    <r>
      <rPr>
        <sz val="10"/>
        <color rgb="FF0070C0"/>
        <rFont val="Century Gothic"/>
        <family val="2"/>
        <scheme val="minor"/>
      </rPr>
      <t xml:space="preserve">
190144 - R - Bewetec
</t>
    </r>
    <r>
      <rPr>
        <sz val="10"/>
        <color rgb="FF00B050"/>
        <rFont val="Century Gothic"/>
        <family val="2"/>
        <scheme val="minor"/>
      </rPr>
      <t xml:space="preserve">190061 - L - Riedo - FR
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</si>
  <si>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 xml:space="preserve">190142 - M2 - Marti - VD
</t>
    </r>
    <r>
      <rPr>
        <sz val="10"/>
        <color rgb="FF0070C0"/>
        <rFont val="Century Gothic"/>
        <family val="2"/>
        <scheme val="minor"/>
      </rPr>
      <t>190167 - R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190166 - Membrez - VD
</t>
    </r>
    <r>
      <rPr>
        <sz val="10"/>
        <rFont val="Century Gothic"/>
        <family val="2"/>
        <scheme val="minor"/>
      </rPr>
      <t>ARRIVAGE ANTARES</t>
    </r>
    <r>
      <rPr>
        <sz val="10"/>
        <color rgb="FF0070C0"/>
        <rFont val="Century Gothic"/>
        <family val="2"/>
        <scheme val="minor"/>
      </rPr>
      <t xml:space="preserve">
190167 - R - Imbovi - LU</t>
    </r>
    <r>
      <rPr>
        <sz val="10"/>
        <color rgb="FF00B0F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190171 - R - Cameca</t>
    </r>
  </si>
  <si>
    <r>
      <t xml:space="preserve">
</t>
    </r>
    <r>
      <rPr>
        <sz val="10"/>
        <color rgb="FFFF0000"/>
        <rFont val="Century Gothic"/>
        <family val="2"/>
        <scheme val="minor"/>
      </rPr>
      <t>190097 - M6 - ARGE - LU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</si>
  <si>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190026 - L - CSC - VD
190144 - L - Marti - GE
190191 - L - Perrin - VD
</t>
    </r>
    <r>
      <rPr>
        <sz val="10"/>
        <color rgb="FFFF0000"/>
        <rFont val="Century Gothic"/>
        <family val="2"/>
        <scheme val="minor"/>
      </rPr>
      <t>190078 - M1 - Halter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190083 - R - Frutiger
190189 - R - ADV
</t>
    </r>
    <r>
      <rPr>
        <sz val="10"/>
        <color rgb="FF00B050"/>
        <rFont val="Century Gothic"/>
        <family val="2"/>
        <scheme val="minor"/>
      </rPr>
      <t xml:space="preserve">190193 - L - Perret - GE
190187 - L - EVAM - VD
</t>
    </r>
    <r>
      <rPr>
        <sz val="10"/>
        <color rgb="FF0070C0"/>
        <rFont val="Century Gothic"/>
        <family val="2"/>
        <scheme val="minor"/>
      </rPr>
      <t xml:space="preserve">190196 - R - Marti
</t>
    </r>
    <r>
      <rPr>
        <sz val="10"/>
        <color rgb="FFFF0000"/>
        <rFont val="Century Gothic"/>
        <family val="2"/>
        <scheme val="minor"/>
      </rPr>
      <t>397 - SAV - Mined'or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</si>
  <si>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190204  - Chopard - NE
</t>
    </r>
    <r>
      <rPr>
        <sz val="10"/>
        <color rgb="FFFF0000"/>
        <rFont val="Century Gothic"/>
        <family val="2"/>
        <scheme val="minor"/>
      </rPr>
      <t>190201 - M1 - Fagsi - BL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Probst remorque
</t>
    </r>
    <r>
      <rPr>
        <sz val="10"/>
        <color rgb="FF00B050"/>
        <rFont val="Century Gothic"/>
        <family val="2"/>
        <scheme val="minor"/>
      </rPr>
      <t xml:space="preserve">190190 - L - Bourquard - JU
</t>
    </r>
    <r>
      <rPr>
        <sz val="10"/>
        <color rgb="FF0070C0"/>
        <rFont val="Century Gothic"/>
        <family val="2"/>
        <scheme val="minor"/>
      </rPr>
      <t>181003 - R - Sola Didact</t>
    </r>
    <r>
      <rPr>
        <sz val="1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</si>
  <si>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>ARRIVAGE MADES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190185 - L - Maulini - GE
190199 - L - Induni - GE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190181 - L - Perrin - GE</t>
    </r>
    <r>
      <rPr>
        <sz val="10"/>
        <color rgb="FF0070C0"/>
        <rFont val="Century Gothic"/>
        <family val="2"/>
        <scheme val="minor"/>
      </rPr>
      <t xml:space="preserve">
190206 - R - Marti
</t>
    </r>
  </si>
  <si>
    <r>
      <rPr>
        <sz val="10"/>
        <rFont val="Century Gothic"/>
        <family val="2"/>
        <scheme val="minor"/>
      </rPr>
      <t xml:space="preserve">RETRIPA
</t>
    </r>
    <r>
      <rPr>
        <sz val="10"/>
        <color rgb="FF00B050"/>
        <rFont val="Century Gothic"/>
        <family val="2"/>
        <scheme val="minor"/>
      </rPr>
      <t xml:space="preserve">190207 - L - Perrin - VD
190170 -  L -PKF - Chavannes - VD
</t>
    </r>
    <r>
      <rPr>
        <sz val="10"/>
        <color rgb="FF0070C0"/>
        <rFont val="Century Gothic"/>
        <family val="2"/>
        <scheme val="minor"/>
      </rPr>
      <t xml:space="preserve">190209 - R - Facchinetti
</t>
    </r>
    <r>
      <rPr>
        <sz val="10"/>
        <color rgb="FF00B050"/>
        <rFont val="Century Gothic"/>
        <family val="2"/>
        <scheme val="minor"/>
      </rPr>
      <t xml:space="preserve"> </t>
    </r>
    <r>
      <rPr>
        <sz val="10"/>
        <color rgb="FF0070C0"/>
        <rFont val="Century Gothic"/>
        <family val="2"/>
        <scheme val="minor"/>
      </rPr>
      <t>190210 - R - Stirnimann
190203 - R - Deneriaz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</si>
  <si>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t>190212 - M1 - Steiner - GE
190214 - M2 - AC Immune - VD</t>
  </si>
  <si>
    <r>
      <rPr>
        <sz val="10"/>
        <rFont val="Century Gothic"/>
        <family val="2"/>
        <scheme val="minor"/>
      </rPr>
      <t>190211 - R - Losinger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190211 - L - Losinger - GE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</si>
  <si>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 xml:space="preserve">190141 - M2 - Piasio - GE
RM1 - AC Immune - VD
</t>
    </r>
    <r>
      <rPr>
        <sz val="10"/>
        <color rgb="FF7030A0"/>
        <rFont val="Century Gothic"/>
        <family val="2"/>
        <scheme val="minor"/>
      </rPr>
      <t>190223 - F - Perrin
190232 - F - Grisoni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</si>
  <si>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190222 - L - Grisoni - FR
190227 - L - Riedo - FR
190228 - L - JPF - FR
190230 - L - Ropraz- FR
</t>
    </r>
    <r>
      <rPr>
        <sz val="10"/>
        <color rgb="FF0070C0"/>
        <rFont val="Century Gothic"/>
        <family val="2"/>
        <scheme val="minor"/>
      </rPr>
      <t xml:space="preserve">190229 - R - Frutiger
190231 - R - Meier
190220 - R - Chocolatière
</t>
    </r>
    <r>
      <rPr>
        <sz val="10"/>
        <color theme="1" tint="0.249977111117893"/>
        <rFont val="Century Gothic"/>
        <family val="2"/>
        <scheme val="minor"/>
      </rPr>
      <t xml:space="preserve">1865 - R - Pappy John
</t>
    </r>
    <r>
      <rPr>
        <sz val="10"/>
        <color rgb="FF00B050"/>
        <rFont val="Century Gothic"/>
        <family val="2"/>
        <scheme val="minor"/>
      </rPr>
      <t xml:space="preserve">190233 - L - Martin - VD
</t>
    </r>
    <r>
      <rPr>
        <sz val="10"/>
        <color rgb="FF0070C0"/>
        <rFont val="Century Gothic"/>
        <family val="2"/>
        <scheme val="minor"/>
      </rPr>
      <t xml:space="preserve">190234 - R - Orllati
</t>
    </r>
  </si>
  <si>
    <t>Bilel vacances</t>
  </si>
  <si>
    <t>Fête Nationale</t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</si>
  <si>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190215 - M2 - Steiner - VD
</t>
    </r>
    <r>
      <rPr>
        <sz val="10"/>
        <color rgb="FF00B050"/>
        <rFont val="Century Gothic"/>
        <family val="2"/>
        <scheme val="minor"/>
      </rPr>
      <t>190238 - L - Orllati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</si>
  <si>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 xml:space="preserve">190236  - L - Marti - GE
190219 - L - Induni - GE
190240 - L - Jaquet - GE
190241 - L - Perret - GE
190099 - L - Marti - GE
</t>
    </r>
    <r>
      <rPr>
        <sz val="10"/>
        <color rgb="FFFF0000"/>
        <rFont val="Century Gothic"/>
        <family val="2"/>
        <scheme val="minor"/>
      </rPr>
      <t xml:space="preserve">190224 - M1 - Piasio - GE
</t>
    </r>
    <r>
      <rPr>
        <sz val="10"/>
        <color rgb="FF0070C0"/>
        <rFont val="Century Gothic"/>
        <family val="2"/>
        <scheme val="minor"/>
      </rPr>
      <t>190237 - R - Implenia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
 </t>
    </r>
  </si>
  <si>
    <r>
      <rPr>
        <sz val="10"/>
        <color rgb="FF00B050"/>
        <rFont val="Century Gothic"/>
        <family val="2"/>
        <scheme val="minor"/>
      </rPr>
      <t xml:space="preserve">190205 - L - Frutiger - BE
</t>
    </r>
    <r>
      <rPr>
        <sz val="10"/>
        <color rgb="FFFF0000"/>
        <rFont val="Century Gothic"/>
        <family val="2"/>
        <scheme val="minor"/>
      </rPr>
      <t xml:space="preserve">190216 - M2 - Frutiger - BE
</t>
    </r>
    <r>
      <rPr>
        <sz val="10"/>
        <color rgb="FF00B050"/>
        <rFont val="Century Gothic"/>
        <family val="2"/>
        <scheme val="minor"/>
      </rPr>
      <t xml:space="preserve">190239 - L - Gabella - VD
190247 - L - Frutiger - VD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</si>
  <si>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190176 - M2 - Riedo - FR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190113 - M2 - Reno - VD
180893 - M1 - HRS - VD
</t>
    </r>
    <r>
      <rPr>
        <sz val="10"/>
        <color rgb="FF0070C0"/>
        <rFont val="Century Gothic"/>
        <family val="2"/>
        <scheme val="minor"/>
      </rPr>
      <t xml:space="preserve">14 - R - Monod 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</si>
  <si>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 xml:space="preserve">190226 - M2 - Baltensperger - ZU
</t>
    </r>
    <r>
      <rPr>
        <sz val="10"/>
        <color rgb="FF00B050"/>
        <rFont val="Century Gothic"/>
        <family val="2"/>
        <scheme val="minor"/>
      </rPr>
      <t xml:space="preserve">190117 - L - Jäggi - ZU
190245 - L - Jäggi - ZU
</t>
    </r>
    <r>
      <rPr>
        <sz val="10"/>
        <color rgb="FFFF0000"/>
        <rFont val="Century Gothic"/>
        <family val="2"/>
        <scheme val="minor"/>
      </rPr>
      <t xml:space="preserve">190137 - M2 - HRS - JU
</t>
    </r>
    <r>
      <rPr>
        <sz val="10"/>
        <color rgb="FF00B050"/>
        <rFont val="Century Gothic"/>
        <family val="2"/>
        <scheme val="minor"/>
      </rPr>
      <t>190251 - L - Riedo - FR</t>
    </r>
  </si>
  <si>
    <r>
      <t xml:space="preserve"> 
</t>
    </r>
    <r>
      <rPr>
        <sz val="10"/>
        <color rgb="FFFF0000"/>
        <rFont val="Century Gothic"/>
        <family val="2"/>
        <scheme val="minor"/>
      </rPr>
      <t xml:space="preserve">190184  - M2  - Halter - GE
</t>
    </r>
    <r>
      <rPr>
        <sz val="10"/>
        <color rgb="FF00B050"/>
        <rFont val="Century Gothic"/>
        <family val="2"/>
        <scheme val="minor"/>
      </rPr>
      <t xml:space="preserve">190246 - L - Piasio - GE
</t>
    </r>
    <r>
      <rPr>
        <sz val="10"/>
        <color rgb="FF7030A0"/>
        <rFont val="Century Gothic"/>
        <family val="2"/>
        <scheme val="minor"/>
      </rPr>
      <t xml:space="preserve">190252 - F - Membrez
</t>
    </r>
    <r>
      <rPr>
        <sz val="10"/>
        <color theme="1"/>
        <rFont val="Century Gothic"/>
        <family val="2"/>
        <scheme val="minor"/>
      </rPr>
      <t xml:space="preserve">1879 - R - Prodega
1880 - R - Prodega
</t>
    </r>
    <r>
      <rPr>
        <sz val="10"/>
        <color rgb="FF00B050"/>
        <rFont val="Century Gothic"/>
        <family val="2"/>
        <scheme val="minor"/>
      </rPr>
      <t xml:space="preserve">190256 - L - Mined'Or- VD
190250 - L - ECM - VD
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</si>
  <si>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>190235 - R - Bollin</t>
    </r>
    <r>
      <rPr>
        <sz val="10"/>
        <color theme="1" tint="0.249977111117893"/>
        <rFont val="Century Gothic"/>
        <family val="2"/>
        <scheme val="minor"/>
      </rPr>
      <t xml:space="preserve">i 
</t>
    </r>
    <r>
      <rPr>
        <sz val="10"/>
        <color rgb="FF00B050"/>
        <rFont val="Century Gothic"/>
        <family val="2"/>
        <scheme val="minor"/>
      </rPr>
      <t>190261 - L - Orllati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190263 - L - ZED - NE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190254 - L - Avesco - FR</t>
    </r>
  </si>
  <si>
    <t xml:space="preserve">190258 - M1 - Riedo - LU
190156 - M2 - Riedo - FR
394 - M2 - Riedo - FR
</t>
  </si>
  <si>
    <r>
      <rPr>
        <sz val="10"/>
        <color rgb="FF00B050"/>
        <rFont val="Century Gothic"/>
        <family val="2"/>
        <scheme val="minor"/>
      </rPr>
      <t xml:space="preserve">407 - L - Audio Technology - VD
</t>
    </r>
    <r>
      <rPr>
        <sz val="10"/>
        <color rgb="FFFF0000"/>
        <rFont val="Century Gothic"/>
        <family val="2"/>
        <scheme val="minor"/>
      </rPr>
      <t xml:space="preserve">
</t>
    </r>
  </si>
  <si>
    <t xml:space="preserve">
190161 - M2 - ECM - VD</t>
  </si>
  <si>
    <r>
      <t xml:space="preserve">190156 - M2 - Riedo - FR
</t>
    </r>
    <r>
      <rPr>
        <sz val="10"/>
        <color rgb="FF00B050"/>
        <rFont val="Century Gothic"/>
        <family val="2"/>
        <scheme val="minor"/>
      </rPr>
      <t xml:space="preserve">190277 - L - Fun Body - VD
</t>
    </r>
    <r>
      <rPr>
        <sz val="10"/>
        <color theme="1"/>
        <rFont val="Century Gothic"/>
        <family val="2"/>
        <scheme val="minor"/>
      </rPr>
      <t>1883 - R - Landy</t>
    </r>
  </si>
  <si>
    <r>
      <t xml:space="preserve">190260 - L - Perret - GE
190262 - L - Favaretto - GE
</t>
    </r>
    <r>
      <rPr>
        <sz val="10"/>
        <color rgb="FFFF0000"/>
        <rFont val="Century Gothic"/>
        <family val="2"/>
        <scheme val="minor"/>
      </rPr>
      <t xml:space="preserve">190271 - M1 - Piasio - GE
</t>
    </r>
    <r>
      <rPr>
        <sz val="10"/>
        <color rgb="FF00B050"/>
        <rFont val="Century Gothic"/>
        <family val="2"/>
        <scheme val="minor"/>
      </rPr>
      <t xml:space="preserve">190270 - L - Clotech - GE
190275 - L - Rampini - GE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</si>
  <si>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theme="1"/>
        <rFont val="Century Gothic"/>
        <family val="2"/>
        <scheme val="minor"/>
      </rPr>
      <t xml:space="preserve">394 - R - Riedo - FR
</t>
    </r>
    <r>
      <rPr>
        <sz val="10"/>
        <color rgb="FFFF0000"/>
        <rFont val="Century Gothic"/>
        <family val="2"/>
        <scheme val="minor"/>
      </rPr>
      <t>190163 - M2 - Equipement Pro - FR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1832 - R - Equipeme
nt Pro - FR</t>
    </r>
    <r>
      <rPr>
        <sz val="10"/>
        <color rgb="FF00B050"/>
        <rFont val="Century Gothic"/>
        <family val="2"/>
        <scheme val="minor"/>
      </rPr>
      <t xml:space="preserve">
190134 - L - Reno - VD
190273 - L - Infra - FR
190297 - L - Grisoni - FR
190291 - L - Perrin - VD
190290 - L - Perrin - VD
</t>
    </r>
    <r>
      <rPr>
        <sz val="10"/>
        <rFont val="Century Gothic"/>
        <family val="2"/>
        <scheme val="minor"/>
      </rPr>
      <t xml:space="preserve">1893 - R - Landi
</t>
    </r>
    <r>
      <rPr>
        <sz val="10"/>
        <color rgb="FF00B050"/>
        <rFont val="Century Gothic"/>
        <family val="2"/>
        <scheme val="minor"/>
      </rPr>
      <t xml:space="preserve">190276 - L - Camandona
</t>
    </r>
    <r>
      <rPr>
        <sz val="10"/>
        <color rgb="FF0070C0"/>
        <rFont val="Century Gothic"/>
        <family val="2"/>
        <scheme val="minor"/>
      </rPr>
      <t>190299 - R - Frutiger</t>
    </r>
    <r>
      <rPr>
        <sz val="10"/>
        <color rgb="FF00B050"/>
        <rFont val="Century Gothic"/>
        <family val="2"/>
        <scheme val="minor"/>
      </rPr>
      <t xml:space="preserve">
</t>
    </r>
  </si>
  <si>
    <t>VENDREDI SAINT - FERIE</t>
  </si>
  <si>
    <t>LUNDI PAQUES - FERIE</t>
  </si>
  <si>
    <r>
      <t xml:space="preserve">190279 - L - Consortium - GE
190293 - L - Marti - GE
190255 - L - Marti - GE
</t>
    </r>
    <r>
      <rPr>
        <sz val="10"/>
        <color rgb="FFFF0000"/>
        <rFont val="Century Gothic"/>
        <family val="2"/>
        <scheme val="minor"/>
      </rPr>
      <t xml:space="preserve">180820 - M1 - Miauton - VS
190265 - M1 - Steiner - VD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</si>
  <si>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>190313 - L - Frutiger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</si>
  <si>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190264 - L - Antiglio - FR
</t>
    </r>
    <r>
      <rPr>
        <sz val="10"/>
        <color rgb="FFFF0000"/>
        <rFont val="Century Gothic"/>
        <family val="2"/>
        <scheme val="minor"/>
      </rPr>
      <t>190304 - M3 - D'Orlando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190298 - M1 - Piasio - GE
</t>
    </r>
    <r>
      <rPr>
        <sz val="10"/>
        <color rgb="FF00B050"/>
        <rFont val="Century Gothic"/>
        <family val="2"/>
        <scheme val="minor"/>
      </rPr>
      <t xml:space="preserve">190316 - L - Colas - GE
190302 - L - Perret - GE
</t>
    </r>
  </si>
  <si>
    <r>
      <t xml:space="preserve">Contrôle technique BMW 11.00
</t>
    </r>
    <r>
      <rPr>
        <sz val="10"/>
        <color rgb="FF00B050"/>
        <rFont val="Century Gothic"/>
        <family val="2"/>
        <scheme val="minor"/>
      </rPr>
      <t xml:space="preserve">
190300 - L - MGC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190284 - M2 - Steiner - ZU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</si>
  <si>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190268 - M1 - Frutiger - VS
</t>
    </r>
    <r>
      <rPr>
        <sz val="10"/>
        <color rgb="FF00B050"/>
        <rFont val="Century Gothic"/>
        <family val="2"/>
        <scheme val="minor"/>
      </rPr>
      <t>190321 - L - Implenia - VS</t>
    </r>
    <r>
      <rPr>
        <sz val="10"/>
        <color rgb="FFFF0000"/>
        <rFont val="Century Gothic"/>
        <family val="2"/>
        <scheme val="minor"/>
      </rPr>
      <t xml:space="preserve">
190301 - M1 - ATS - VD
</t>
    </r>
    <r>
      <rPr>
        <sz val="10"/>
        <color rgb="FF0070C0"/>
        <rFont val="Century Gothic"/>
        <family val="2"/>
        <scheme val="minor"/>
      </rPr>
      <t>190335 - R - Wolf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190338 - L - Orllati - VD</t>
    </r>
  </si>
  <si>
    <r>
      <rPr>
        <sz val="10"/>
        <color rgb="FFFF0000"/>
        <rFont val="Century Gothic"/>
        <family val="2"/>
        <scheme val="minor"/>
      </rPr>
      <t xml:space="preserve">190315 - M2 - Steiner - VD ( 7h30 )
</t>
    </r>
    <r>
      <rPr>
        <sz val="10"/>
        <color rgb="FF00B050"/>
        <rFont val="Century Gothic"/>
        <family val="2"/>
        <scheme val="minor"/>
      </rPr>
      <t>190319 - L - Piasio - GE</t>
    </r>
    <r>
      <rPr>
        <sz val="10"/>
        <color rgb="FFFF0000"/>
        <rFont val="Century Gothic"/>
        <family val="2"/>
        <scheme val="minor"/>
      </rPr>
      <t xml:space="preserve">
190328 - M2 - D'Orlando - GE
</t>
    </r>
    <r>
      <rPr>
        <sz val="10"/>
        <color rgb="FF00B050"/>
        <rFont val="Century Gothic"/>
        <family val="2"/>
        <scheme val="minor"/>
      </rPr>
      <t xml:space="preserve">190332 - L - Perrin - VD
</t>
    </r>
    <r>
      <rPr>
        <sz val="10"/>
        <color rgb="FFFF0000"/>
        <rFont val="Century Gothic"/>
        <family val="2"/>
        <scheme val="minor"/>
      </rPr>
      <t xml:space="preserve">190278 - M1 - Losinger - VD
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</si>
  <si>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190147 - L - JPF - FR
</t>
    </r>
    <r>
      <rPr>
        <sz val="10"/>
        <rFont val="Century Gothic"/>
        <family val="2"/>
        <scheme val="minor"/>
      </rPr>
      <t xml:space="preserve">1903 - R - Landi à Bulle
</t>
    </r>
    <r>
      <rPr>
        <sz val="10"/>
        <color rgb="FF00B050"/>
        <rFont val="Century Gothic"/>
        <family val="2"/>
        <scheme val="minor"/>
      </rPr>
      <t xml:space="preserve">190327 - L - Riedo - FR
</t>
    </r>
    <r>
      <rPr>
        <sz val="10"/>
        <color rgb="FFFF0000"/>
        <rFont val="Century Gothic"/>
        <family val="2"/>
        <scheme val="minor"/>
      </rPr>
      <t xml:space="preserve">190333 - M2 - Baltensperger - ZU
190284  - M2 - Steiner - ZU
</t>
    </r>
    <r>
      <rPr>
        <sz val="10"/>
        <color rgb="FF00B050"/>
        <rFont val="Century Gothic"/>
        <family val="2"/>
        <scheme val="minor"/>
      </rPr>
      <t xml:space="preserve">190225 - L - Grisoni - FR
</t>
    </r>
    <r>
      <rPr>
        <sz val="10"/>
        <color rgb="FF0070C0"/>
        <rFont val="Century Gothic"/>
        <family val="2"/>
        <scheme val="minor"/>
      </rPr>
      <t>190345 - R - Frutiger
190326 - R - Frutiger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</si>
  <si>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B050"/>
        <rFont val="Century Gothic"/>
        <family val="2"/>
        <scheme val="minor"/>
      </rPr>
      <t xml:space="preserve">190341 - L - Membrez - VD
190346 - L - CSC - VD
190342 - L - Equipement Pro - VD
190350 - L - Bollini - VD
</t>
    </r>
    <r>
      <rPr>
        <sz val="10"/>
        <color rgb="FF0070C0"/>
        <rFont val="Century Gothic"/>
        <family val="2"/>
        <scheme val="minor"/>
      </rPr>
      <t>190221 - R - Anliker
 190311 - R - Gabriel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 </t>
    </r>
  </si>
  <si>
    <r>
      <t xml:space="preserve">190312 - M2 - Losinger - VD
190183 - M2 - AC Immune - VD
</t>
    </r>
    <r>
      <rPr>
        <sz val="10"/>
        <color rgb="FF0070C0"/>
        <rFont val="Century Gothic"/>
        <family val="2"/>
        <scheme val="minor"/>
      </rPr>
      <t xml:space="preserve">190365 - R- Semo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</si>
  <si>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190329 - L - Maulini - VD
</t>
    </r>
    <r>
      <rPr>
        <sz val="10"/>
        <color rgb="FFFF0000"/>
        <rFont val="Century Gothic"/>
        <family val="2"/>
        <scheme val="minor"/>
      </rPr>
      <t xml:space="preserve">190348 - M1 - D'Orlando - GE
190286 - M2 - BCO - VS
 190351 - M2 - Losinger VS / GE
</t>
    </r>
    <r>
      <rPr>
        <sz val="10"/>
        <color rgb="FF00B050"/>
        <rFont val="Century Gothic"/>
        <family val="2"/>
        <scheme val="minor"/>
      </rPr>
      <t xml:space="preserve">190358 - L - Implenia - GE
190363 - L - Perrin - GE
</t>
    </r>
    <r>
      <rPr>
        <sz val="10"/>
        <color rgb="FF0070C0"/>
        <rFont val="Century Gothic"/>
        <family val="2"/>
        <scheme val="minor"/>
      </rPr>
      <t xml:space="preserve">190353 - R - Bernasconi
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</si>
  <si>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MADES 14H
</t>
    </r>
    <r>
      <rPr>
        <sz val="10"/>
        <color rgb="FF00B050"/>
        <rFont val="Century Gothic"/>
        <family val="2"/>
        <scheme val="minor"/>
      </rPr>
      <t>190349 - L - Implenia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190363 - L - Perrin - GE</t>
    </r>
    <r>
      <rPr>
        <sz val="10"/>
        <color rgb="FF00B050"/>
        <rFont val="Century Gothic"/>
        <family val="2"/>
        <scheme val="minor"/>
      </rPr>
      <t xml:space="preserve">
190368 - L - Banos - VD
</t>
    </r>
    <r>
      <rPr>
        <sz val="10"/>
        <color rgb="FF0070C0"/>
        <rFont val="Century Gothic"/>
        <family val="2"/>
        <scheme val="minor"/>
      </rPr>
      <t xml:space="preserve">190289 - R - Sola Didact
190371 - R - Ropraz
190355 - R - Frutiger
190375 - R - Orllati
</t>
    </r>
    <r>
      <rPr>
        <sz val="10"/>
        <color rgb="FF00B050"/>
        <rFont val="Century Gothic"/>
        <family val="2"/>
        <scheme val="minor"/>
      </rPr>
      <t xml:space="preserve">190292 - L - Perrin - VD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</si>
  <si>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190352 - M - Steiner ZU
190370 - M - Fagsi - ZU
190131 - M2 - Riedo - FR
</t>
    </r>
    <r>
      <rPr>
        <sz val="10"/>
        <color rgb="FF0070C0"/>
        <rFont val="Arial"/>
        <family val="2"/>
      </rPr>
      <t>190110 - R - Knecht
190295 - R - Marti</t>
    </r>
    <r>
      <rPr>
        <sz val="10"/>
        <color rgb="FFFF0000"/>
        <rFont val="Arial"/>
        <family val="2"/>
      </rPr>
      <t xml:space="preserve">
</t>
    </r>
    <r>
      <rPr>
        <sz val="10"/>
        <color rgb="FF0070C0"/>
        <rFont val="Arial"/>
        <family val="2"/>
      </rPr>
      <t xml:space="preserve">190160 - R - Eco-Services
190294 - R - Marti 
190195 - R - Perret
190303 - R - Perret
</t>
    </r>
    <r>
      <rPr>
        <sz val="10"/>
        <color rgb="FFFF0000"/>
        <rFont val="Arial"/>
        <family val="2"/>
      </rPr>
      <t xml:space="preserve">
</t>
    </r>
  </si>
  <si>
    <r>
      <t xml:space="preserve">12 H - BRUNCH
</t>
    </r>
    <r>
      <rPr>
        <sz val="10"/>
        <color rgb="FF00B050"/>
        <rFont val="Century Gothic"/>
        <family val="2"/>
        <scheme val="minor"/>
      </rPr>
      <t>190198 - L - Cameca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190369 - R - Usine des Jurats
</t>
    </r>
    <r>
      <rPr>
        <sz val="10"/>
        <color theme="1"/>
        <rFont val="Century Gothic"/>
        <family val="2"/>
        <scheme val="minor"/>
      </rPr>
      <t xml:space="preserve">1919 - R - Prodega
R - Pappy John - Renens
</t>
    </r>
    <r>
      <rPr>
        <sz val="10"/>
        <color rgb="FF0070C0"/>
        <rFont val="Century Gothic"/>
        <family val="2"/>
        <scheme val="minor"/>
      </rPr>
      <t xml:space="preserve">15 - R - Stéphane
</t>
    </r>
    <r>
      <rPr>
        <sz val="10"/>
        <rFont val="Century Gothic"/>
        <family val="2"/>
        <scheme val="minor"/>
      </rPr>
      <t xml:space="preserve">
</t>
    </r>
  </si>
  <si>
    <r>
      <t xml:space="preserve">SAV ALHO - Inselspital BERN
190283 - M2 - Steiner - VD
</t>
    </r>
    <r>
      <rPr>
        <sz val="10"/>
        <color rgb="FF00B050"/>
        <rFont val="Century Gothic"/>
        <family val="2"/>
        <scheme val="minor"/>
      </rPr>
      <t>190375 - L - Orllati - VD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</si>
  <si>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1926 - R - Prodega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190383 - L - ECM - VD</t>
    </r>
    <r>
      <rPr>
        <sz val="10"/>
        <color rgb="FF7030A0"/>
        <rFont val="Century Gothic"/>
        <family val="2"/>
        <scheme val="minor"/>
      </rPr>
      <t xml:space="preserve">
190360 - F - Grisoni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190034 - M2 - Orllati - VD
190217 - M2 - RubixComm - VD
190378 - M2 - HRS - VD
</t>
    </r>
    <r>
      <rPr>
        <sz val="10"/>
        <color rgb="FF00B050"/>
        <rFont val="Century Gothic"/>
        <family val="2"/>
        <scheme val="minor"/>
      </rPr>
      <t>190387 - L - Orllati - VD
190386 - L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1929 - R - Landi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</si>
  <si>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190308 - M2 - Halter - GE
190116 - M2 - Halter - GE
</t>
    </r>
    <r>
      <rPr>
        <sz val="10"/>
        <color rgb="FF00B0F0"/>
        <rFont val="Century Gothic"/>
        <family val="2"/>
        <scheme val="minor"/>
      </rPr>
      <t xml:space="preserve">190380 - R - Implenia
</t>
    </r>
    <r>
      <rPr>
        <sz val="10"/>
        <color rgb="FF00B050"/>
        <rFont val="Century Gothic"/>
        <family val="2"/>
        <scheme val="minor"/>
      </rPr>
      <t>190399 - L - Perret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</si>
  <si>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B0F0"/>
        <rFont val="Century Gothic"/>
        <family val="2"/>
        <scheme val="minor"/>
      </rPr>
      <t xml:space="preserve">190384 - R - Grisoni
190396 - R - Grisoni
</t>
    </r>
    <r>
      <rPr>
        <sz val="10"/>
        <color rgb="FFFF0000"/>
        <rFont val="Century Gothic"/>
        <family val="2"/>
        <scheme val="minor"/>
      </rPr>
      <t xml:space="preserve">190197 - M2 - Bricks - VD
</t>
    </r>
    <r>
      <rPr>
        <sz val="10"/>
        <color rgb="FF7030A0"/>
        <rFont val="Century Gothic"/>
        <family val="2"/>
        <scheme val="minor"/>
      </rPr>
      <t>190402 - F - MTS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190404 - R - Orllati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190397 - R - Membrez</t>
    </r>
  </si>
  <si>
    <t>190407 - M2 - PIC - GE</t>
  </si>
  <si>
    <t>190266 - M2 - General media - VD
190322 - M2 - Steiner - VD
190366 - M2 - Steiner - VD
190401 - M1 - Glaucome - VD
ARRIVAGE CAMION MADES</t>
  </si>
  <si>
    <r>
      <t xml:space="preserve">190354 - M2 - Steiner - GE
190344 - M2 - Steiner - GE
</t>
    </r>
    <r>
      <rPr>
        <sz val="10"/>
        <color rgb="FF00B0F0"/>
        <rFont val="Century Gothic"/>
        <family val="2"/>
        <scheme val="minor"/>
      </rPr>
      <t>190382 - R - Perret
190389 - R - Frutiger
190391 - R - Widmer
190390 - R - Avesco
190395 - R - Frutiger
190374 - R - Sola Didact</t>
    </r>
  </si>
  <si>
    <r>
      <t xml:space="preserve">190393 - M4 - ARGE KiKri - BE
</t>
    </r>
    <r>
      <rPr>
        <sz val="10"/>
        <color rgb="FF7030A0"/>
        <rFont val="Century Gothic"/>
        <family val="2"/>
        <scheme val="minor"/>
      </rPr>
      <t xml:space="preserve">190411 - F - Bernasconi
</t>
    </r>
    <r>
      <rPr>
        <sz val="10"/>
        <color rgb="FF00B0F0"/>
        <rFont val="Century Gothic"/>
        <family val="2"/>
        <scheme val="minor"/>
      </rPr>
      <t>190413 - R - Implenia</t>
    </r>
  </si>
  <si>
    <r>
      <t xml:space="preserve">Passer déposer la chaise à Gland - chantier STEINER
</t>
    </r>
    <r>
      <rPr>
        <sz val="10"/>
        <color rgb="FF00B050"/>
        <rFont val="Century Gothic"/>
        <family val="2"/>
        <scheme val="minor"/>
      </rPr>
      <t xml:space="preserve">190379 - L - Piasio - GE
</t>
    </r>
    <r>
      <rPr>
        <sz val="10"/>
        <color rgb="FFFF0000"/>
        <rFont val="Century Gothic"/>
        <family val="2"/>
        <scheme val="minor"/>
      </rPr>
      <t xml:space="preserve">190362 - M1 - Losinger - GE
</t>
    </r>
    <r>
      <rPr>
        <sz val="10"/>
        <color rgb="FF00B050"/>
        <rFont val="Century Gothic"/>
        <family val="2"/>
        <scheme val="minor"/>
      </rPr>
      <t xml:space="preserve">190407 - L - Camandona - VD
</t>
    </r>
  </si>
  <si>
    <r>
      <t xml:space="preserve">190361 - 190362 - M2 - Losinger - VD
</t>
    </r>
    <r>
      <rPr>
        <sz val="10"/>
        <color rgb="FF7030A0"/>
        <rFont val="Century Gothic"/>
        <family val="2"/>
        <scheme val="minor"/>
      </rPr>
      <t>190416 - F - Belloni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190320 - R - Fagsi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190427 - R - Camandona
190423 - 190429 - R - Mino</t>
    </r>
  </si>
  <si>
    <t>Ascenscion</t>
  </si>
  <si>
    <r>
      <t xml:space="preserve">190112 - M2 - USBFactory - VD
190420 - M2 - PIC - GE
</t>
    </r>
    <r>
      <rPr>
        <sz val="10"/>
        <color rgb="FF00B050"/>
        <rFont val="Century Gothic"/>
        <family val="2"/>
        <scheme val="minor"/>
      </rPr>
      <t>190417 - L - Piasio - GE
190421 - L - Perrin - GE</t>
    </r>
  </si>
  <si>
    <t>PONT de l'ascension</t>
  </si>
  <si>
    <r>
      <t xml:space="preserve">190305 - M4 - Frutiger - BE
</t>
    </r>
    <r>
      <rPr>
        <sz val="10"/>
        <color rgb="FF00B0F0"/>
        <rFont val="Century Gothic"/>
        <family val="2"/>
        <scheme val="minor"/>
      </rPr>
      <t xml:space="preserve">190430 - R - Orllati </t>
    </r>
  </si>
  <si>
    <r>
      <t xml:space="preserve">190323 - M4 - Bricks - GE
</t>
    </r>
    <r>
      <rPr>
        <sz val="10"/>
        <color rgb="FF7030A0"/>
        <rFont val="Century Gothic"/>
        <family val="2"/>
        <scheme val="minor"/>
      </rPr>
      <t>190435 - F - Perrin</t>
    </r>
  </si>
  <si>
    <r>
      <t xml:space="preserve">Arrivage 13.00 MADES
</t>
    </r>
    <r>
      <rPr>
        <sz val="10"/>
        <color theme="1"/>
        <rFont val="Century Gothic"/>
        <family val="2"/>
        <scheme val="minor"/>
      </rPr>
      <t>LANDI 1953 - 1935</t>
    </r>
    <r>
      <rPr>
        <sz val="10"/>
        <color rgb="FFFF0000"/>
        <rFont val="Century Gothic"/>
        <family val="2"/>
        <scheme val="minor"/>
      </rPr>
      <t xml:space="preserve">
190323 - M2 - Bricks - GE</t>
    </r>
  </si>
  <si>
    <r>
      <t>408 - SAV Inselspital
190422 - M1 - Frutiger - BE
411 - SAV Frutiger</t>
    </r>
    <r>
      <rPr>
        <sz val="10"/>
        <color rgb="FF00B050"/>
        <rFont val="Century Gothic"/>
        <family val="2"/>
        <scheme val="minor"/>
      </rPr>
      <t xml:space="preserve">
190357 - L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190431 - R - ARGE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190377 - R - Orllati
190443 - R - Birchmeier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190445 - 190398 - R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F0"/>
        <rFont val="Century Gothic"/>
        <family val="2"/>
        <scheme val="minor"/>
      </rPr>
      <t>190442 - R - Sola</t>
    </r>
  </si>
  <si>
    <r>
      <rPr>
        <sz val="10"/>
        <color rgb="FF00B0F0"/>
        <rFont val="Century Gothic"/>
        <family val="2"/>
        <scheme val="minor"/>
      </rPr>
      <t xml:space="preserve">190426 - R - Riedo
190449 - R - Frutiger
</t>
    </r>
    <r>
      <rPr>
        <sz val="10"/>
        <color rgb="FF00B050"/>
        <rFont val="Century Gothic"/>
        <family val="2"/>
        <scheme val="minor"/>
      </rPr>
      <t>190436 - L - Bernadette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190438 - L - Château - VD 
</t>
    </r>
    <r>
      <rPr>
        <sz val="10"/>
        <color rgb="FFFF0000"/>
        <rFont val="Century Gothic"/>
        <family val="2"/>
        <scheme val="minor"/>
      </rPr>
      <t>1962 - HALTER Récup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1956 - PRODEGA
</t>
    </r>
    <r>
      <rPr>
        <sz val="10"/>
        <color rgb="FF00B050"/>
        <rFont val="Century Gothic"/>
        <family val="2"/>
        <scheme val="minor"/>
      </rPr>
      <t xml:space="preserve">190434 - L - Martin
190419 - 190425 - L - HRS - VD - APRES-MIDI
</t>
    </r>
    <r>
      <rPr>
        <sz val="10"/>
        <rFont val="Century Gothic"/>
        <family val="2"/>
        <scheme val="minor"/>
      </rPr>
      <t>1969 - LANDI</t>
    </r>
  </si>
  <si>
    <r>
      <rPr>
        <sz val="10"/>
        <color rgb="FF00B0F0"/>
        <rFont val="Century Gothic"/>
        <family val="2"/>
        <scheme val="minor"/>
      </rPr>
      <t xml:space="preserve">190267 - R - Frutiger
190455 - R - Nasca
190456 - R - Dinibat
190460 - R - Orllati
190459 - R - Losinger
</t>
    </r>
    <r>
      <rPr>
        <sz val="10"/>
        <color rgb="FFFF0000"/>
        <rFont val="Century Gothic"/>
        <family val="2"/>
        <scheme val="minor"/>
      </rPr>
      <t>190330 - M2 - Losinger - VD
190331 - M2 - AC Immune - VD
190462 - M1 - Mine d'or - VD</t>
    </r>
  </si>
  <si>
    <r>
      <rPr>
        <sz val="10"/>
        <color rgb="FFFF0000"/>
        <rFont val="Century Gothic"/>
        <family val="2"/>
        <scheme val="minor"/>
      </rPr>
      <t xml:space="preserve">Arrivage container Coldtec
Aller IKEA Laisser le canapé
</t>
    </r>
    <r>
      <rPr>
        <sz val="10"/>
        <color rgb="FF00B050"/>
        <rFont val="Century Gothic"/>
        <family val="2"/>
        <scheme val="minor"/>
      </rPr>
      <t xml:space="preserve">190447 - 190339 - L - Maulini - GE
</t>
    </r>
    <r>
      <rPr>
        <sz val="10"/>
        <color rgb="FFFF0000"/>
        <rFont val="Century Gothic"/>
        <family val="2"/>
        <scheme val="minor"/>
      </rPr>
      <t>190453 - M1 - D'Orlando - GE</t>
    </r>
    <r>
      <rPr>
        <sz val="10"/>
        <color rgb="FF00B050"/>
        <rFont val="Century Gothic"/>
        <family val="2"/>
        <scheme val="minor"/>
      </rPr>
      <t xml:space="preserve">
190400 - L - Perret - GE
190437 - L - Jaquet - GE
190454 - L - Maulini - GE
</t>
    </r>
    <r>
      <rPr>
        <sz val="10"/>
        <color rgb="FF7030A0"/>
        <rFont val="Century Gothic"/>
        <family val="2"/>
        <scheme val="minor"/>
      </rPr>
      <t>190446 - F - Frutiger</t>
    </r>
  </si>
  <si>
    <r>
      <rPr>
        <sz val="10"/>
        <color rgb="FF00B050"/>
        <rFont val="Century Gothic"/>
        <family val="2"/>
        <scheme val="minor"/>
      </rPr>
      <t xml:space="preserve">190334 - 190448 - L - Riedo - FR 
415 -Amener POUF
</t>
    </r>
    <r>
      <rPr>
        <sz val="10"/>
        <color rgb="FFFF0000"/>
        <rFont val="Century Gothic"/>
        <family val="2"/>
        <scheme val="minor"/>
      </rPr>
      <t>190314 - M2 - Riedo - BE - Monter le matériel à l'extérieur
190461 - M2 - Riedo - BE</t>
    </r>
  </si>
  <si>
    <t>190432 - L - Induni - GE</t>
  </si>
  <si>
    <r>
      <t xml:space="preserve">190325 - M2 - Bricks - VD
190433 - M2 - Steiner - VD
</t>
    </r>
    <r>
      <rPr>
        <sz val="10"/>
        <color rgb="FF00B050"/>
        <rFont val="Century Gothic"/>
        <family val="2"/>
        <scheme val="minor"/>
      </rPr>
      <t xml:space="preserve">190471 - L - Camandona - VD
</t>
    </r>
    <r>
      <rPr>
        <sz val="10"/>
        <rFont val="Century Gothic"/>
        <family val="2"/>
        <scheme val="minor"/>
      </rPr>
      <t>1974 - Landi</t>
    </r>
  </si>
  <si>
    <t>1963 - Halter Récup - VD
190412 - M1- Halter - GE
413 - Halter - GE</t>
  </si>
  <si>
    <r>
      <t xml:space="preserve">Monter le showroom et amener les chaises chez GENERAL MEDIA
190452 - M1 - STEINER - VD
190476 - M2 - Implenia - VD
</t>
    </r>
    <r>
      <rPr>
        <sz val="10"/>
        <color rgb="FF00B050"/>
        <rFont val="Century Gothic"/>
        <family val="2"/>
        <scheme val="minor"/>
      </rPr>
      <t xml:space="preserve">190392 - L - Cameca -VD
</t>
    </r>
    <r>
      <rPr>
        <sz val="10"/>
        <color rgb="FFFF0000"/>
        <rFont val="Century Gothic"/>
        <family val="2"/>
        <scheme val="minor"/>
      </rPr>
      <t>190244 - M2 - DM - VD</t>
    </r>
  </si>
  <si>
    <r>
      <t>ARRIVAGE MADES 1848/1857 7.30
190372 - M2 - Halter - GE</t>
    </r>
    <r>
      <rPr>
        <sz val="10"/>
        <color rgb="FF00B050"/>
        <rFont val="Century Gothic"/>
        <family val="2"/>
        <scheme val="minor"/>
      </rPr>
      <t xml:space="preserve">
190473 - L - BIMMO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190441 - 190418 - R - Marti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190469 - R - Orllati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190451 - R - Sola
190336 - R - Alkana</t>
    </r>
  </si>
  <si>
    <t>Jour férié pentecôte</t>
  </si>
  <si>
    <r>
      <t xml:space="preserve">190409 - 190477 - M1 ou M2 - ARGE - BE
412 - ARGE - BE à confirmer
</t>
    </r>
    <r>
      <rPr>
        <sz val="10"/>
        <color rgb="FF7030A0"/>
        <rFont val="Century Gothic"/>
        <family val="2"/>
        <scheme val="minor"/>
      </rPr>
      <t>190484 - F - Frutiger</t>
    </r>
  </si>
  <si>
    <r>
      <t xml:space="preserve">190478 - L - Perrin - VD
190242 - L - PERRET - GE
190485 - L - Maulini - GE
190385 - L - Implenia - GE
</t>
    </r>
    <r>
      <rPr>
        <sz val="10"/>
        <color rgb="FFFF0000"/>
        <rFont val="Century Gothic"/>
        <family val="2"/>
        <scheme val="minor"/>
      </rPr>
      <t>190415 - M2 - PIC - GE</t>
    </r>
  </si>
  <si>
    <r>
      <t xml:space="preserve">Arrivage MADES 1858 7.00
1981 - Landi
</t>
    </r>
    <r>
      <rPr>
        <sz val="10"/>
        <color rgb="FF0070C0"/>
        <rFont val="Century Gothic"/>
        <family val="2"/>
        <scheme val="minor"/>
      </rPr>
      <t>190499 - R - Physioplus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190487 - L - Fun Body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190483 - M2 - HRS - VD</t>
    </r>
    <r>
      <rPr>
        <sz val="10"/>
        <color rgb="FF00B050"/>
        <rFont val="Century Gothic"/>
        <family val="2"/>
        <scheme val="minor"/>
      </rPr>
      <t xml:space="preserve">
190480 - L - Membrez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190494 - L - Martin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190496 - R - Camandona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190503 - R - Mino</t>
    </r>
  </si>
  <si>
    <r>
      <rPr>
        <sz val="10"/>
        <color rgb="FFFF0000"/>
        <rFont val="Century Gothic"/>
        <family val="2"/>
        <scheme val="minor"/>
      </rPr>
      <t>190394 - M2 - Riedo - FR</t>
    </r>
    <r>
      <rPr>
        <sz val="10"/>
        <color rgb="FF00B050"/>
        <rFont val="Century Gothic"/>
        <family val="2"/>
        <scheme val="minor"/>
      </rPr>
      <t xml:space="preserve">
190373 - L - Riedo - FR
190513 - L - JPF - FR
190497 - L - Camandona - VD
</t>
    </r>
    <r>
      <rPr>
        <sz val="10"/>
        <color rgb="FF7030A0"/>
        <rFont val="Century Gothic"/>
        <family val="2"/>
        <scheme val="minor"/>
      </rPr>
      <t>190504 - F - PIC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190505 - 190507 - R - Marti</t>
    </r>
  </si>
  <si>
    <r>
      <rPr>
        <sz val="10"/>
        <color rgb="FF0070C0"/>
        <rFont val="Century Gothic"/>
        <family val="2"/>
        <scheme val="minor"/>
      </rPr>
      <t xml:space="preserve">418 - R - ARGE
</t>
    </r>
    <r>
      <rPr>
        <sz val="10"/>
        <color rgb="FF00B050"/>
        <rFont val="Century Gothic"/>
        <family val="2"/>
        <scheme val="minor"/>
      </rPr>
      <t>190500 - L - IBGS - VD
190482 - L - Bollini - VD
190414 - L - Camandona -VD
DATAREC
Ranger dépôts</t>
    </r>
  </si>
  <si>
    <r>
      <t xml:space="preserve">Service camion VW 7.45
</t>
    </r>
    <r>
      <rPr>
        <sz val="10"/>
        <color rgb="FF00B050"/>
        <rFont val="Century Gothic"/>
        <family val="2"/>
        <scheme val="minor"/>
      </rPr>
      <t>190501 - L - Piasio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190465 - M1 - Halter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190515 - L - Simond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190516 - R - Bernasconi
190519 - R - Rubicomm</t>
    </r>
  </si>
  <si>
    <r>
      <rPr>
        <sz val="10"/>
        <color rgb="FFFF0000"/>
        <rFont val="Century Gothic"/>
        <family val="2"/>
        <scheme val="minor"/>
      </rPr>
      <t>419 - M1 - General Media - VD</t>
    </r>
    <r>
      <rPr>
        <sz val="10"/>
        <color rgb="FF00B050"/>
        <rFont val="Century Gothic"/>
        <family val="2"/>
        <scheme val="minor"/>
      </rPr>
      <t xml:space="preserve">
190467 - L + RECUP - L - HRS - VD à partir de 8.30
190521 - L - WL - FR
190173 - L - ATS - VD</t>
    </r>
  </si>
  <si>
    <r>
      <rPr>
        <sz val="10"/>
        <color rgb="FF00B050"/>
        <rFont val="Century Gothic"/>
        <family val="2"/>
        <scheme val="minor"/>
      </rPr>
      <t>190512 - L - Implenia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416 - SAV - BCO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190470 - R - Containex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190527 - F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190533 - L - Laurent Membrez - VD
190532 - L - Laurent Membrez - VD</t>
    </r>
  </si>
  <si>
    <r>
      <t xml:space="preserve">190530 - M2 - Grenkeleasing SA - NE
</t>
    </r>
    <r>
      <rPr>
        <sz val="10"/>
        <color rgb="FF7030A0"/>
        <rFont val="Century Gothic"/>
        <family val="2"/>
        <scheme val="minor"/>
      </rPr>
      <t>190539 - F - Orllati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190540 - R - Laurent Membrez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190542 - R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190537 - R - Luzi Bau AG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190428 - R - Axoria</t>
    </r>
  </si>
  <si>
    <r>
      <rPr>
        <sz val="10"/>
        <color rgb="FF0070C0"/>
        <rFont val="Century Gothic"/>
        <family val="2"/>
        <scheme val="minor"/>
      </rPr>
      <t>190548 - R - Gagnère</t>
    </r>
    <r>
      <rPr>
        <sz val="10"/>
        <color rgb="FF00B050"/>
        <rFont val="Century Gothic"/>
        <family val="2"/>
        <scheme val="minor"/>
      </rPr>
      <t xml:space="preserve">
190528 - L -  Perrin - VD</t>
    </r>
    <r>
      <rPr>
        <sz val="10"/>
        <color rgb="FFFF0000"/>
        <rFont val="Century Gothic"/>
        <family val="2"/>
        <scheme val="minor"/>
      </rPr>
      <t xml:space="preserve">
190475 - M2 - AROMWAVE - VD
</t>
    </r>
    <r>
      <rPr>
        <sz val="10"/>
        <color rgb="FF00B050"/>
        <rFont val="Century Gothic"/>
        <family val="2"/>
        <scheme val="minor"/>
      </rPr>
      <t xml:space="preserve">20 - L - Combra - VD
</t>
    </r>
    <r>
      <rPr>
        <sz val="10"/>
        <color theme="1"/>
        <rFont val="Century Gothic"/>
        <family val="2"/>
        <scheme val="minor"/>
      </rPr>
      <t xml:space="preserve">2013 - Prodega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190538 - 190549 - R - Camandona</t>
    </r>
  </si>
  <si>
    <r>
      <rPr>
        <sz val="10"/>
        <color rgb="FF0070C0"/>
        <rFont val="Century Gothic"/>
        <family val="2"/>
        <scheme val="minor"/>
      </rPr>
      <t xml:space="preserve">190524 - R - JPF
190544 - R - Pyropac
</t>
    </r>
    <r>
      <rPr>
        <sz val="10"/>
        <color rgb="FF00B050"/>
        <rFont val="Century Gothic"/>
        <family val="2"/>
        <scheme val="minor"/>
      </rPr>
      <t xml:space="preserve">190534 - L - Jaquet SA - GE
190545 - L - Piasio - GE
190547 - L - Belloni - GE (attente sucre)
190508 - L - Consortium - FR
</t>
    </r>
  </si>
  <si>
    <r>
      <t xml:space="preserve">Laurent vacances
</t>
    </r>
    <r>
      <rPr>
        <sz val="10"/>
        <color rgb="FFFF0000"/>
        <rFont val="Century Gothic"/>
        <family val="2"/>
        <scheme val="minor"/>
      </rPr>
      <t>190464 - M4 - AC Immune - VD
190243 - M4 - AC Immune - VD
190200 - M4 - AC Immune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190546 - F - Belloni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190552 - R - Perrin</t>
    </r>
  </si>
  <si>
    <r>
      <rPr>
        <sz val="10"/>
        <color theme="1"/>
        <rFont val="Century Gothic"/>
        <family val="2"/>
        <scheme val="minor"/>
      </rPr>
      <t xml:space="preserve">ARRIVAGE MADES 1873
Laurent vacances
</t>
    </r>
    <r>
      <rPr>
        <sz val="10"/>
        <color rgb="FFFF0000"/>
        <rFont val="Century Gothic"/>
        <family val="2"/>
        <scheme val="minor"/>
      </rPr>
      <t>190464 - M4 - AC Immune - VD
190243 - M4 - AC Immune - VD
190200 - M4 - AC Immune - VD</t>
    </r>
    <r>
      <rPr>
        <sz val="10"/>
        <color theme="1" tint="0.249977111117893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>190562 - F - AC Immune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190567 - R - Membrez</t>
    </r>
  </si>
  <si>
    <r>
      <t xml:space="preserve">ARRIVAGE MADES 1889
Laurent vacances
</t>
    </r>
    <r>
      <rPr>
        <sz val="10"/>
        <color rgb="FFFF0000"/>
        <rFont val="Century Gothic"/>
        <family val="2"/>
        <scheme val="minor"/>
      </rPr>
      <t xml:space="preserve">190464 - M4 - AC Immune - VD
190243 - M4 - AC Immune - VD
190200 - M4 - AC Immune - VD
</t>
    </r>
    <r>
      <rPr>
        <sz val="10"/>
        <color rgb="FF0070C0"/>
        <rFont val="Century Gothic"/>
        <family val="2"/>
        <scheme val="minor"/>
      </rPr>
      <t>190566 - R - Orllati
190576 - R - Membrez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190580 - R - Camandona</t>
    </r>
  </si>
  <si>
    <r>
      <t xml:space="preserve">Laurent vacances
</t>
    </r>
    <r>
      <rPr>
        <sz val="10"/>
        <color rgb="FFFF0000"/>
        <rFont val="Century Gothic"/>
        <family val="2"/>
        <scheme val="minor"/>
      </rPr>
      <t xml:space="preserve">190394 - M2 - Riedo - FR
</t>
    </r>
    <r>
      <rPr>
        <sz val="10"/>
        <color rgb="FF00B050"/>
        <rFont val="Century Gothic"/>
        <family val="2"/>
        <scheme val="minor"/>
      </rPr>
      <t xml:space="preserve">190550 - L - Induni - VD
190573 - L - IBGS - VD
190525 - 190568 - 190569 - 190589 - L - Orllati - VD
</t>
    </r>
    <r>
      <rPr>
        <sz val="10"/>
        <color rgb="FF7030A0"/>
        <rFont val="Century Gothic"/>
        <family val="2"/>
        <scheme val="minor"/>
      </rPr>
      <t>190571 - F - ECM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190584 - F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190578 - R - ATS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190579 - R - Banos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190581 - R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190566 - R - Orllati</t>
    </r>
  </si>
  <si>
    <r>
      <t xml:space="preserve">Laurent vacances
Sandra vacances
</t>
    </r>
    <r>
      <rPr>
        <sz val="10"/>
        <color rgb="FF0070C0"/>
        <rFont val="Century Gothic"/>
        <family val="2"/>
        <scheme val="minor"/>
      </rPr>
      <t xml:space="preserve">190588 - R - Anliker
190587 - R - Frutiger
190596 - R - Missonier
190574 - R - Simac
</t>
    </r>
    <r>
      <rPr>
        <sz val="10"/>
        <color rgb="FF00B050"/>
        <rFont val="Century Gothic"/>
        <family val="2"/>
        <scheme val="minor"/>
      </rPr>
      <t>190566 - L - Orllati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190506 - 190517 - M4 - HRS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190585 - F - Bernasconi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 xml:space="preserve">190593 - F - Grisoni
</t>
    </r>
  </si>
  <si>
    <r>
      <rPr>
        <sz val="10"/>
        <rFont val="Century Gothic"/>
        <family val="2"/>
        <scheme val="minor"/>
      </rPr>
      <t xml:space="preserve">Laurent vacances
Sandra vacances
DATAREC
</t>
    </r>
    <r>
      <rPr>
        <sz val="10"/>
        <color rgb="FF0070C0"/>
        <rFont val="Century Gothic"/>
        <family val="2"/>
        <scheme val="minor"/>
      </rPr>
      <t xml:space="preserve">190557 - R - HRS
190502 - R - Losinger
</t>
    </r>
    <r>
      <rPr>
        <sz val="10"/>
        <color rgb="FFFF0000"/>
        <rFont val="Century Gothic"/>
        <family val="2"/>
        <scheme val="minor"/>
      </rPr>
      <t>190526 - M2 - Halter - GE 11.00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190597 - F - Missonnier</t>
    </r>
  </si>
  <si>
    <r>
      <t xml:space="preserve">Laurent vacances
Sandra vacances
2023 Landi
</t>
    </r>
    <r>
      <rPr>
        <sz val="10"/>
        <color rgb="FF00B050"/>
        <rFont val="Century Gothic"/>
        <family val="2"/>
        <scheme val="minor"/>
      </rPr>
      <t>190561 - L - Marti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190601 - L - Nasca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190605 - L - Orllati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190607 - R - Riedo</t>
    </r>
    <r>
      <rPr>
        <sz val="10"/>
        <color theme="1" tint="0.249977111117893"/>
        <rFont val="Century Gothic"/>
        <family val="2"/>
        <scheme val="minor"/>
      </rPr>
      <t xml:space="preserve"> </t>
    </r>
  </si>
  <si>
    <r>
      <t xml:space="preserve">Sandra vacances
1894 - ARRIVAGE MADES
2041 - Maison du monde
</t>
    </r>
    <r>
      <rPr>
        <sz val="10"/>
        <color rgb="FFFF0000"/>
        <rFont val="Century Gothic"/>
        <family val="2"/>
        <scheme val="minor"/>
      </rPr>
      <t>190439 - M4 - Frutiger - VS</t>
    </r>
  </si>
  <si>
    <r>
      <t xml:space="preserve">Laurent vacances
Sandra vacances
</t>
    </r>
    <r>
      <rPr>
        <sz val="10"/>
        <color rgb="FF00B050"/>
        <rFont val="Century Gothic"/>
        <family val="2"/>
        <scheme val="minor"/>
      </rPr>
      <t xml:space="preserve">190570 - L - Soreval - GE
</t>
    </r>
    <r>
      <rPr>
        <sz val="10"/>
        <color rgb="FFFF0000"/>
        <rFont val="Century Gothic"/>
        <family val="2"/>
        <scheme val="minor"/>
      </rPr>
      <t xml:space="preserve">190577 - 190572 - M1 - Losinger - GE
</t>
    </r>
    <r>
      <rPr>
        <sz val="10"/>
        <rFont val="Century Gothic"/>
        <family val="2"/>
        <scheme val="minor"/>
      </rPr>
      <t xml:space="preserve">1961 - 2007 Landi
</t>
    </r>
    <r>
      <rPr>
        <sz val="10"/>
        <color rgb="FF00B050"/>
        <rFont val="Century Gothic"/>
        <family val="2"/>
        <scheme val="minor"/>
      </rPr>
      <t>190610 - L - Laurent Membrez - VD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</si>
  <si>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Laurent vacances
Sandra vacances
</t>
    </r>
    <r>
      <rPr>
        <sz val="10"/>
        <color rgb="FF0070C0"/>
        <rFont val="Century Gothic"/>
        <family val="2"/>
        <scheme val="minor"/>
      </rPr>
      <t xml:space="preserve">190613 - R - HRS
190614 - R - Implenia
190615 - R - Frutiger
190616 - R - Grisoni
190318 - R - Riedo
</t>
    </r>
    <r>
      <rPr>
        <sz val="10"/>
        <color rgb="FFFF0000"/>
        <rFont val="Century Gothic"/>
        <family val="2"/>
        <scheme val="minor"/>
      </rPr>
      <t>190586 - M2 - Steiner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190551 - M2 - AC Immune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190619 - 423 - M1 - Tellco SA - VD
</t>
    </r>
    <r>
      <rPr>
        <sz val="10"/>
        <color rgb="FF7030A0"/>
        <rFont val="Century Gothic"/>
        <family val="2"/>
        <scheme val="minor"/>
      </rPr>
      <t>190611 - F - Implenia</t>
    </r>
  </si>
  <si>
    <r>
      <t xml:space="preserve">Sandra vacances
</t>
    </r>
    <r>
      <rPr>
        <sz val="10"/>
        <color rgb="FFFF0000"/>
        <rFont val="Century Gothic"/>
        <family val="2"/>
        <scheme val="minor"/>
      </rPr>
      <t>190602 -  M2 - Anliker - SZ</t>
    </r>
  </si>
  <si>
    <r>
      <t xml:space="preserve">Sandra vacances
Rangement dépôt
</t>
    </r>
    <r>
      <rPr>
        <sz val="10"/>
        <color rgb="FF0070C0"/>
        <rFont val="Century Gothic"/>
        <family val="2"/>
        <scheme val="minor"/>
      </rPr>
      <t xml:space="preserve">190620 - R - Avesco ok
190621 - R - Camandona ok
190624 - R - Marti - ok
190529 - R - Perrin ok 
190626 - R - ADV ok
190628 - R - Loxam ok
190629 - R - Frutiger ok
</t>
    </r>
    <r>
      <rPr>
        <sz val="10"/>
        <color rgb="FFFF0000"/>
        <rFont val="Century Gothic"/>
        <family val="2"/>
        <scheme val="minor"/>
      </rPr>
      <t>190381 - M2 - RM - VD</t>
    </r>
  </si>
  <si>
    <r>
      <t xml:space="preserve">Sandra vacances
</t>
    </r>
    <r>
      <rPr>
        <sz val="10"/>
        <color rgb="FFFF0000"/>
        <rFont val="Century Gothic"/>
        <family val="2"/>
        <scheme val="minor"/>
      </rPr>
      <t>190439 - M4 - Frutiger - VS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190631 - R - Stirnimann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190376 - R - Marti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190635 - R - Camandona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190632 - R - Bernasconi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190638 - R - Maulini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190634 - R - Amliker</t>
    </r>
  </si>
  <si>
    <r>
      <rPr>
        <sz val="10"/>
        <rFont val="Century Gothic"/>
        <family val="2"/>
        <scheme val="minor"/>
      </rPr>
      <t xml:space="preserve">Sandra vacances
</t>
    </r>
    <r>
      <rPr>
        <sz val="10"/>
        <color rgb="FFFF0000"/>
        <rFont val="Century Gothic"/>
        <family val="2"/>
        <scheme val="minor"/>
      </rPr>
      <t xml:space="preserve">190439 - M4 - Frutiger - VS
</t>
    </r>
    <r>
      <rPr>
        <sz val="10"/>
        <color rgb="FF0070C0"/>
        <rFont val="Century Gothic"/>
        <family val="2"/>
        <scheme val="minor"/>
      </rPr>
      <t>190641 - R - Vinzent Meier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</si>
  <si>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190564 - 190531 - M1 - Grenke - Quiplus - NE
190606 - M1 - Steiner - BE
</t>
    </r>
    <r>
      <rPr>
        <sz val="10"/>
        <color rgb="FF0070C0"/>
        <rFont val="Century Gothic"/>
        <family val="2"/>
        <scheme val="minor"/>
      </rPr>
      <t>190647 - R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190609 - L - ISS - BE
429 - SAV - Buchs</t>
    </r>
  </si>
  <si>
    <r>
      <rPr>
        <sz val="10"/>
        <color rgb="FF0070C0"/>
        <rFont val="Century Gothic"/>
        <family val="2"/>
        <scheme val="minor"/>
      </rPr>
      <t>190652 - R - Eichenberger</t>
    </r>
    <r>
      <rPr>
        <sz val="10"/>
        <color rgb="FFFF0000"/>
        <rFont val="Century Gothic"/>
        <family val="2"/>
        <scheme val="minor"/>
      </rPr>
      <t xml:space="preserve">
190633 - M1 - Halter - GE
</t>
    </r>
    <r>
      <rPr>
        <sz val="10"/>
        <color rgb="FF00B050"/>
        <rFont val="Century Gothic"/>
        <family val="2"/>
        <scheme val="minor"/>
      </rPr>
      <t xml:space="preserve">190651 - L - Piasio - GE
</t>
    </r>
    <r>
      <rPr>
        <sz val="10"/>
        <color theme="1"/>
        <rFont val="Century Gothic"/>
        <family val="2"/>
        <scheme val="minor"/>
      </rPr>
      <t xml:space="preserve">430 - Récupère machine ECM
</t>
    </r>
    <r>
      <rPr>
        <sz val="10"/>
        <color theme="1" tint="0.249977111117893"/>
        <rFont val="Century Gothic"/>
        <family val="2"/>
        <scheme val="minor"/>
      </rPr>
      <t>431 - Récupère machine Mined'or
432 - Récupère Frutiger
Inspection Mercedes 16.00 Blecherette</t>
    </r>
  </si>
  <si>
    <r>
      <rPr>
        <sz val="10"/>
        <color rgb="FF0070C0"/>
        <rFont val="Century Gothic"/>
        <family val="2"/>
        <scheme val="minor"/>
      </rPr>
      <t>190655 - R - Orlalti
190657 - R - Qoqa
190659 - R - Orllati</t>
    </r>
    <r>
      <rPr>
        <sz val="10"/>
        <color rgb="FFFF0000"/>
        <rFont val="Century Gothic"/>
        <family val="2"/>
        <scheme val="minor"/>
      </rPr>
      <t xml:space="preserve">
190622 - M3 - Steiner - ZH</t>
    </r>
  </si>
  <si>
    <r>
      <t xml:space="preserve">180859 - M2 - AC Immune - VD
AM Réunion
PM cloison
Clapet / trappe bonne couleur
425 - AC Immune
</t>
    </r>
    <r>
      <rPr>
        <sz val="10"/>
        <color rgb="FF7030A0"/>
        <rFont val="Century Gothic"/>
        <family val="2"/>
        <scheme val="minor"/>
      </rPr>
      <t>190663 - F - Deneriaz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190664 - R - JP GAGNERE</t>
    </r>
  </si>
  <si>
    <t>190590 - M2 - Steiner - ZH</t>
  </si>
  <si>
    <r>
      <t xml:space="preserve">
Laurent vacances
</t>
    </r>
    <r>
      <rPr>
        <sz val="10"/>
        <color rgb="FFFF0000"/>
        <rFont val="Century Gothic"/>
        <family val="2"/>
        <scheme val="minor"/>
      </rPr>
      <t xml:space="preserve">190464 - M4 - AC Immune - VD
190243 - M4 - AC Immune - VD
190200 - M4 - AC Immune - VD
</t>
    </r>
    <r>
      <rPr>
        <sz val="10"/>
        <color rgb="FF7030A0"/>
        <rFont val="Century Gothic"/>
        <family val="2"/>
        <scheme val="minor"/>
      </rPr>
      <t>190543 - F - Implenia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190553 - R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190554 - F - Laurent Membrez
190558 - F - Ropraz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190559 - R - CSC</t>
    </r>
  </si>
  <si>
    <r>
      <rPr>
        <sz val="10"/>
        <color rgb="FF0070C0"/>
        <rFont val="Century Gothic"/>
        <family val="2"/>
        <scheme val="minor"/>
      </rPr>
      <t xml:space="preserve">190662 - R - Marti
190665 - R - Grisoni
190666 - R - Camandona
190649 - R - SCF
190668 - R - Laurent Membrez
190648 - R - Perrin
190670 - R - Marti
190672 - R - Marti
190671 - R - Anliker
</t>
    </r>
    <r>
      <rPr>
        <sz val="10"/>
        <color rgb="FF7030A0"/>
        <rFont val="Century Gothic"/>
        <family val="2"/>
        <scheme val="minor"/>
      </rPr>
      <t>190669 - F - Laurent Membrez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190518 - 190604 -  M2 - GeneralMedia - VD
14 - M2 - NC - Récupération Steiner vestiaires
Ranger Dépôt</t>
    </r>
  </si>
  <si>
    <r>
      <t xml:space="preserve">Charger Roues et amener Duster garage
190468 - 190495 - M4 - GRENKE - FERRA - VD
</t>
    </r>
    <r>
      <rPr>
        <sz val="10"/>
        <color rgb="FF0070C0"/>
        <rFont val="Century Gothic"/>
        <family val="2"/>
        <scheme val="minor"/>
      </rPr>
      <t>190466 - R - Artisans vignerons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190675 - R - Martin</t>
    </r>
  </si>
  <si>
    <r>
      <t>Déchetterie</t>
    </r>
    <r>
      <rPr>
        <sz val="10"/>
        <color rgb="FFFF0000"/>
        <rFont val="Century Gothic"/>
        <family val="2"/>
        <scheme val="minor"/>
      </rPr>
      <t xml:space="preserve">
190468 - 190653 - 190495 - M4 - GRENKE - FERRA - VD</t>
    </r>
    <r>
      <rPr>
        <sz val="1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</si>
  <si>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MADES 1908 - 1910
</t>
    </r>
    <r>
      <rPr>
        <sz val="10"/>
        <color rgb="FF0070C0"/>
        <rFont val="Century Gothic"/>
        <family val="2"/>
        <scheme val="minor"/>
      </rPr>
      <t xml:space="preserve">190658 - R - Dénériaz
190681 - R - Grisoni Zaugg
</t>
    </r>
    <r>
      <rPr>
        <sz val="10"/>
        <color rgb="FF7030A0"/>
        <rFont val="Century Gothic"/>
        <family val="2"/>
        <scheme val="minor"/>
      </rPr>
      <t>190680 - F - Laurent Membrez</t>
    </r>
    <r>
      <rPr>
        <sz val="10"/>
        <color rgb="FFFF0000"/>
        <rFont val="Century Gothic"/>
        <family val="2"/>
        <scheme val="minor"/>
      </rPr>
      <t xml:space="preserve">
190673 - M2 - Losinger - VD</t>
    </r>
  </si>
  <si>
    <r>
      <t xml:space="preserve">190654 - M1 - Complex - VD
190677 - M1 - HRS - FR
</t>
    </r>
    <r>
      <rPr>
        <sz val="10"/>
        <color rgb="FF0070C0"/>
        <rFont val="Century Gothic"/>
        <family val="2"/>
        <scheme val="minor"/>
      </rPr>
      <t>190676 - R - USB</t>
    </r>
  </si>
  <si>
    <t>Bilel vacances
Congé général de la société pris sur les heures supp.</t>
  </si>
  <si>
    <r>
      <t xml:space="preserve">Bilel vacances
</t>
    </r>
    <r>
      <rPr>
        <sz val="10"/>
        <color rgb="FF7030A0"/>
        <rFont val="Century Gothic"/>
        <family val="2"/>
        <scheme val="minor"/>
      </rPr>
      <t>190667 - F - Laurent Membrez
190693 - F - Laurent Membrez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190687 - R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190686 - R - Strabag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190595 - R - Losinger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190682 - R - Containex</t>
    </r>
  </si>
  <si>
    <r>
      <t xml:space="preserve">Bilel vacances
</t>
    </r>
    <r>
      <rPr>
        <sz val="10"/>
        <color rgb="FF0070C0"/>
        <rFont val="Century Gothic"/>
        <family val="2"/>
        <scheme val="minor"/>
      </rPr>
      <t xml:space="preserve">190694 - R - Laurent Membrez
</t>
    </r>
    <r>
      <rPr>
        <sz val="10"/>
        <color rgb="FF00B050"/>
        <rFont val="Century Gothic"/>
        <family val="2"/>
        <scheme val="minor"/>
      </rPr>
      <t>190690 - L - Laurent Membrez - VD
Récupération machine en prêt</t>
    </r>
  </si>
  <si>
    <r>
      <t xml:space="preserve">Bilel vacances
</t>
    </r>
    <r>
      <rPr>
        <sz val="10"/>
        <color rgb="FF0070C0"/>
        <rFont val="Century Gothic"/>
        <family val="2"/>
        <scheme val="minor"/>
      </rPr>
      <t>190691 - R - Riedo</t>
    </r>
  </si>
  <si>
    <r>
      <t xml:space="preserve">Bilel vacances
</t>
    </r>
    <r>
      <rPr>
        <sz val="10"/>
        <color rgb="FF0070C0"/>
        <rFont val="Century Gothic"/>
        <family val="2"/>
        <scheme val="minor"/>
      </rPr>
      <t>190705 - R - Camandona</t>
    </r>
  </si>
  <si>
    <r>
      <t xml:space="preserve">Arrivage MADES 1938 - 2004
Bilel vacances
</t>
    </r>
    <r>
      <rPr>
        <sz val="10"/>
        <color rgb="FF0070C0"/>
        <rFont val="Century Gothic"/>
        <family val="2"/>
        <scheme val="minor"/>
      </rPr>
      <t>190698 - R - Riedo
190704 - R - Clot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190699 - 190700 - 190701 - 190702 - R - Equipement PRO
190697 - R - Boxplay
190707 - R - Bernasconi
190708 - R - Marti
</t>
    </r>
    <r>
      <rPr>
        <sz val="10"/>
        <color rgb="FF7030A0"/>
        <rFont val="Century Gothic"/>
        <family val="2"/>
        <scheme val="minor"/>
      </rPr>
      <t>190706 - F - Avesco</t>
    </r>
  </si>
  <si>
    <r>
      <t xml:space="preserve">Bilel vacances
</t>
    </r>
    <r>
      <rPr>
        <sz val="10"/>
        <color rgb="FFFF0000"/>
        <rFont val="Century Gothic"/>
        <family val="2"/>
        <scheme val="minor"/>
      </rPr>
      <t>190639 - M2 - RM - VD
190520 - M2 - Orllati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190451 - R - Frutiger
190608 - R - Soreval
190408 - R - Piasio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190498 - R - Riedo
190630 - R - Frutiger</t>
    </r>
  </si>
  <si>
    <r>
      <t xml:space="preserve">Bilel vacances
Arrivage camion Nowystil
</t>
    </r>
    <r>
      <rPr>
        <sz val="10"/>
        <color rgb="FF0070C0"/>
        <rFont val="Century Gothic"/>
        <family val="2"/>
        <scheme val="minor"/>
      </rPr>
      <t>190714 - R - Aromwave</t>
    </r>
  </si>
  <si>
    <r>
      <t xml:space="preserve">Bilel vacances
</t>
    </r>
    <r>
      <rPr>
        <sz val="10"/>
        <color rgb="FF0070C0"/>
        <rFont val="Century Gothic"/>
        <family val="2"/>
        <scheme val="minor"/>
      </rPr>
      <t>190712 - R - Marti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190716 - R - Orllati
190718 - R - Perrin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190721 - F - Perrin</t>
    </r>
  </si>
  <si>
    <r>
      <rPr>
        <sz val="10"/>
        <rFont val="Century Gothic"/>
        <family val="2"/>
        <scheme val="minor"/>
      </rPr>
      <t>Bilel vacances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190591 - R - Consortium Avry</t>
    </r>
  </si>
  <si>
    <r>
      <rPr>
        <sz val="10"/>
        <color rgb="FF0070C0"/>
        <rFont val="Century Gothic"/>
        <family val="2"/>
        <scheme val="minor"/>
      </rPr>
      <t>190715 - R - Riedo</t>
    </r>
    <r>
      <rPr>
        <sz val="10"/>
        <color rgb="FFFF0000"/>
        <rFont val="Century Gothic"/>
        <family val="2"/>
        <scheme val="minor"/>
      </rPr>
      <t xml:space="preserve">
437 - Récupère machine à café - Perrin</t>
    </r>
  </si>
  <si>
    <r>
      <rPr>
        <sz val="10"/>
        <color rgb="FF0070C0"/>
        <rFont val="Century Gothic"/>
        <family val="2"/>
        <scheme val="minor"/>
      </rPr>
      <t>190713 - R - Alkana
190695 - R - Orllati
190105 - R - Bricks
190727 - R - Marti
190734 - R - Kraftanlagen</t>
    </r>
    <r>
      <rPr>
        <sz val="10"/>
        <color rgb="FFFF0000"/>
        <rFont val="Century Gothic"/>
        <family val="2"/>
        <scheme val="minor"/>
      </rPr>
      <t xml:space="preserve">
190637 - 190724 - M2 - HRS - GE
190208 - M2 - TOTUP - GE</t>
    </r>
  </si>
  <si>
    <t>425 - 190598  - 190617 - M2 - AC Immune Réprarer panneaux acoustiques.</t>
  </si>
  <si>
    <r>
      <t xml:space="preserve">425 - 190692 - M2 - AC Immune Réprarer panneaux acoustiques.
</t>
    </r>
    <r>
      <rPr>
        <sz val="10"/>
        <color rgb="FF0070C0"/>
        <rFont val="Century Gothic"/>
        <family val="2"/>
        <scheme val="minor"/>
      </rPr>
      <t>190742 - R - J-P Gagnère</t>
    </r>
  </si>
  <si>
    <r>
      <t xml:space="preserve">190746 - R - Ropraz
</t>
    </r>
    <r>
      <rPr>
        <sz val="10"/>
        <color rgb="FF7030A0"/>
        <rFont val="Century Gothic"/>
        <family val="2"/>
        <scheme val="minor"/>
      </rPr>
      <t>190745 - F - Perret</t>
    </r>
  </si>
  <si>
    <r>
      <t xml:space="preserve">190749 - R - Sola
190736 - R - Jäggi
</t>
    </r>
    <r>
      <rPr>
        <sz val="10"/>
        <color rgb="FFFF0000"/>
        <rFont val="Century Gothic"/>
        <family val="2"/>
        <scheme val="minor"/>
      </rPr>
      <t xml:space="preserve">190479 - Préparer 25 palettes Riedo et si nécessaire passer par Sieber
</t>
    </r>
    <r>
      <rPr>
        <sz val="10"/>
        <color rgb="FF00B050"/>
        <rFont val="Century Gothic"/>
        <family val="2"/>
        <scheme val="minor"/>
      </rPr>
      <t>190656 - L - Bertholet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landi 2097</t>
    </r>
  </si>
  <si>
    <r>
      <t xml:space="preserve">190603 - </t>
    </r>
    <r>
      <rPr>
        <sz val="10"/>
        <color rgb="FF00B050"/>
        <rFont val="Century Gothic"/>
        <family val="2"/>
        <scheme val="minor"/>
      </rPr>
      <t>190748</t>
    </r>
    <r>
      <rPr>
        <sz val="10"/>
        <color rgb="FFFF0000"/>
        <rFont val="Century Gothic"/>
        <family val="2"/>
        <scheme val="minor"/>
      </rPr>
      <t xml:space="preserve"> - 190692 - M2 - AC Immune - VD
</t>
    </r>
    <r>
      <rPr>
        <sz val="10"/>
        <color rgb="FF0070C0"/>
        <rFont val="Century Gothic"/>
        <family val="2"/>
        <scheme val="minor"/>
      </rPr>
      <t>190751 - R - SeMo
190746 - R - Ropraz</t>
    </r>
  </si>
  <si>
    <t>190678 - M2 - Ferra - VD
441 - M - Ferra - VD</t>
  </si>
  <si>
    <r>
      <t xml:space="preserve">440 - M2 - Consotium - FR
</t>
    </r>
    <r>
      <rPr>
        <sz val="10"/>
        <color rgb="FF00B050"/>
        <rFont val="Century Gothic"/>
        <family val="2"/>
        <scheme val="minor"/>
      </rPr>
      <t>190764 - L - JPF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190763 - R - Riedo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2102 Prodega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190756 - L - Martin - VD</t>
    </r>
  </si>
  <si>
    <r>
      <t xml:space="preserve">190479 - M4 - Riedo - BE !!! 0730
</t>
    </r>
    <r>
      <rPr>
        <sz val="10"/>
        <color rgb="FF0070C0"/>
        <rFont val="Century Gothic"/>
        <family val="2"/>
        <scheme val="minor"/>
      </rPr>
      <t xml:space="preserve">25 - R - CR Energie
</t>
    </r>
    <r>
      <rPr>
        <sz val="10"/>
        <color rgb="FF00B050"/>
        <rFont val="Century Gothic"/>
        <family val="2"/>
        <scheme val="minor"/>
      </rPr>
      <t>190756 - L - Martin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</si>
  <si>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2083 - M2 - Halter - VD - 
190683 - 190684 - M2 - EAS+MS8 - VD
190741 - R + L - Substance - VD
</t>
    </r>
    <r>
      <rPr>
        <sz val="10"/>
        <color rgb="FF0070C0"/>
        <rFont val="Century Gothic"/>
        <family val="2"/>
        <scheme val="minor"/>
      </rPr>
      <t xml:space="preserve">190771 - R - Implenia VS
190768 - R - Wallo - BE
443 - Retour  - Boxplay
190767 - R - M.P. Welding
</t>
    </r>
    <r>
      <rPr>
        <sz val="10"/>
        <color rgb="FF00B050"/>
        <rFont val="Century Gothic"/>
        <family val="2"/>
        <scheme val="minor"/>
      </rPr>
      <t>190775 - L - Marti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</si>
  <si>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442 - M2 - AC Immune - VD
444 - M - AC Immune - VD
190765 - M1 - HRS - VD
</t>
    </r>
    <r>
      <rPr>
        <sz val="10"/>
        <color rgb="FF0070C0"/>
        <rFont val="Century Gothic"/>
        <family val="2"/>
        <scheme val="minor"/>
      </rPr>
      <t>190772 - R - Widmer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190776 - R - Riedo</t>
    </r>
  </si>
  <si>
    <r>
      <t xml:space="preserve">MADES arrivage - 1987 - 2053
</t>
    </r>
    <r>
      <rPr>
        <sz val="10"/>
        <color rgb="FF00B050"/>
        <rFont val="Century Gothic"/>
        <family val="2"/>
        <scheme val="minor"/>
      </rPr>
      <t>190759 - L - Perrin - VD
190760 - L - Perrin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438 - L - HRS - GE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439 - M1 - Totup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190757 - L - Alpha - GE
190774 - L - Marti - GE
</t>
    </r>
    <r>
      <rPr>
        <sz val="10"/>
        <color rgb="FF0070C0"/>
        <rFont val="Century Gothic"/>
        <family val="2"/>
        <scheme val="minor"/>
      </rPr>
      <t xml:space="preserve">190781 - R - Dénériaz
190778 - R - Marti
190783 - R - Sola Didact
190646 - Poste - ISS
</t>
    </r>
    <r>
      <rPr>
        <sz val="10"/>
        <rFont val="Century Gothic"/>
        <family val="2"/>
        <scheme val="minor"/>
      </rPr>
      <t xml:space="preserve">
</t>
    </r>
  </si>
  <si>
    <r>
      <rPr>
        <sz val="10"/>
        <color rgb="FF00B050"/>
        <rFont val="Century Gothic"/>
        <family val="2"/>
        <scheme val="minor"/>
      </rPr>
      <t>190786 - L - Marti - VD
190787 - L - Camandona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</si>
  <si>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190444 - M2 - Steiner - ZH
190594 - M2 - Steiner - ZH
</t>
    </r>
    <r>
      <rPr>
        <sz val="10"/>
        <color rgb="FF0070C0"/>
        <rFont val="Century Gothic"/>
        <family val="2"/>
        <scheme val="minor"/>
      </rPr>
      <t xml:space="preserve">190782 - R - Marti
1907789 - R - Krafzanlangen </t>
    </r>
    <r>
      <rPr>
        <sz val="10"/>
        <color rgb="FFFF0000"/>
        <rFont val="Century Gothic"/>
        <family val="2"/>
        <scheme val="minor"/>
      </rPr>
      <t xml:space="preserve">
</t>
    </r>
  </si>
  <si>
    <t>FERIE</t>
  </si>
  <si>
    <r>
      <rPr>
        <sz val="10"/>
        <color rgb="FFFF0000"/>
        <rFont val="Century Gothic"/>
        <family val="2"/>
        <scheme val="minor"/>
      </rPr>
      <t xml:space="preserve">190784 - M2 - Steiner - BS
</t>
    </r>
    <r>
      <rPr>
        <sz val="10"/>
        <color rgb="FF7030A0"/>
        <rFont val="Century Gothic"/>
        <family val="2"/>
        <scheme val="minor"/>
      </rPr>
      <t>190798 - F - Grisoni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</si>
  <si>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190801 - R - Fun Body
190788 - R - Riedo
190800 - R - Bussard
190802 - R - Scrasa
190797 - R - Frutiger
190803 - R - CIG
</t>
    </r>
    <r>
      <rPr>
        <sz val="10"/>
        <color rgb="FFFF0000"/>
        <rFont val="Century Gothic"/>
        <family val="2"/>
        <scheme val="minor"/>
      </rPr>
      <t xml:space="preserve">190761 - M2 - Ferra - VD
</t>
    </r>
    <r>
      <rPr>
        <sz val="10"/>
        <color rgb="FF00B050"/>
        <rFont val="Century Gothic"/>
        <family val="2"/>
        <scheme val="minor"/>
      </rPr>
      <t>447 - L - Fun Body</t>
    </r>
    <r>
      <rPr>
        <sz val="10"/>
        <color rgb="FF0070C0"/>
        <rFont val="Century Gothic"/>
        <family val="2"/>
        <scheme val="minor"/>
      </rPr>
      <t xml:space="preserve">
Récupération LANDI</t>
    </r>
  </si>
  <si>
    <r>
      <t xml:space="preserve">Nettoyage Venoge Festival
</t>
    </r>
    <r>
      <rPr>
        <sz val="10"/>
        <color rgb="FF0070C0"/>
        <rFont val="Century Gothic"/>
        <family val="2"/>
        <scheme val="minor"/>
      </rPr>
      <t>190812 - R - Piasio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190806 - R - Halter</t>
    </r>
  </si>
  <si>
    <r>
      <t xml:space="preserve">190722 - M2 - Petrusso - VD
190403 - M2 - Bricks - VD
</t>
    </r>
    <r>
      <rPr>
        <sz val="10"/>
        <color rgb="FF0070C0"/>
        <rFont val="Century Gothic"/>
        <family val="2"/>
        <scheme val="minor"/>
      </rPr>
      <t>190780 - R - Equipement PRO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190815 - 450 - R - Bilibani </t>
    </r>
  </si>
  <si>
    <r>
      <t>190728 - M1 - Reno - VD</t>
    </r>
    <r>
      <rPr>
        <sz val="10"/>
        <color rgb="FF00B050"/>
        <rFont val="Century Gothic"/>
        <family val="2"/>
        <scheme val="minor"/>
      </rPr>
      <t xml:space="preserve">
190821 - L - Antiglio - FR</t>
    </r>
    <r>
      <rPr>
        <sz val="10"/>
        <color rgb="FFFF0000"/>
        <rFont val="Century Gothic"/>
        <family val="2"/>
        <scheme val="minor"/>
      </rPr>
      <t xml:space="preserve">
190738 - M2 - Riedo - FR
</t>
    </r>
    <r>
      <rPr>
        <sz val="10"/>
        <color rgb="FF7030A0"/>
        <rFont val="Century Gothic"/>
        <family val="2"/>
        <scheme val="minor"/>
      </rPr>
      <t xml:space="preserve">190785 - F - Sottas
</t>
    </r>
    <r>
      <rPr>
        <sz val="10"/>
        <color rgb="FF0070C0"/>
        <rFont val="Century Gothic"/>
        <family val="2"/>
        <scheme val="minor"/>
      </rPr>
      <t>190790 - R - Camandona
190816 - R - Gabella
190823 - R - Trümpi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</si>
  <si>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190824 - R - Galenicare
190827 - R - Perrin
</t>
    </r>
    <r>
      <rPr>
        <sz val="10"/>
        <color rgb="FF7030A0"/>
        <rFont val="Century Gothic"/>
        <family val="2"/>
        <scheme val="minor"/>
      </rPr>
      <t>190826 - F - Maulini</t>
    </r>
    <r>
      <rPr>
        <sz val="10"/>
        <color rgb="FFFF0000"/>
        <rFont val="Century Gothic"/>
        <family val="2"/>
        <scheme val="minor"/>
      </rPr>
      <t xml:space="preserve">
190811 - M2 - Halter - GE
</t>
    </r>
    <r>
      <rPr>
        <sz val="10"/>
        <color rgb="FF00B050"/>
        <rFont val="Century Gothic"/>
        <family val="2"/>
        <scheme val="minor"/>
      </rPr>
      <t>190829 - L - Frutiger - VD</t>
    </r>
  </si>
  <si>
    <t>190766 - M2 - Losinger - VD</t>
  </si>
  <si>
    <r>
      <t xml:space="preserve">190685 - S - Baltensperger
</t>
    </r>
    <r>
      <rPr>
        <sz val="10"/>
        <color rgb="FF7030A0"/>
        <rFont val="Century Gothic"/>
        <family val="2"/>
        <scheme val="minor"/>
      </rPr>
      <t>190834 - F - Ropraz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190835 - L - Ropraz - FR
</t>
    </r>
    <r>
      <rPr>
        <sz val="10"/>
        <color rgb="FF0070C0"/>
        <rFont val="Century Gothic"/>
        <family val="2"/>
        <scheme val="minor"/>
      </rPr>
      <t>190831 - R - Startup Ministries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Déménager vestiaires en bas</t>
    </r>
  </si>
  <si>
    <t>190509 - M4 - WL Bau - VS à 08.00</t>
  </si>
  <si>
    <r>
      <t xml:space="preserve">190838 - L - Paul Vaucher - VD
190825 - L - Maulini - GE
</t>
    </r>
    <r>
      <rPr>
        <sz val="10"/>
        <color rgb="FFFF0000"/>
        <rFont val="Century Gothic"/>
        <family val="2"/>
        <scheme val="minor"/>
      </rPr>
      <t>190833 - M1 - Losinger - GE</t>
    </r>
    <r>
      <rPr>
        <sz val="10"/>
        <color rgb="FF0070C0"/>
        <rFont val="Century Gothic"/>
        <family val="2"/>
        <scheme val="minor"/>
      </rPr>
      <t xml:space="preserve">
190840 - R - Equipement Pro</t>
    </r>
  </si>
  <si>
    <r>
      <rPr>
        <sz val="10"/>
        <color rgb="FF0070C0"/>
        <rFont val="Century Gothic"/>
        <family val="2"/>
        <scheme val="minor"/>
      </rPr>
      <t>190830 - R - Dénériaz</t>
    </r>
    <r>
      <rPr>
        <sz val="10"/>
        <color rgb="FF00B050"/>
        <rFont val="Century Gothic"/>
        <family val="2"/>
        <scheme val="minor"/>
      </rPr>
      <t xml:space="preserve">
190842 - L - Berney - VD
190839 - L - Grisoni - FR
190758 - L - Service - NE
190720 - 190843 - 190844 - L - Perrin - VD
190841 - 190836 - L - Membrez - VD</t>
    </r>
  </si>
  <si>
    <r>
      <rPr>
        <sz val="10"/>
        <color rgb="FF0070C0"/>
        <rFont val="Century Gothic"/>
        <family val="2"/>
        <scheme val="minor"/>
      </rPr>
      <t>190854 - R - Marti</t>
    </r>
    <r>
      <rPr>
        <sz val="10"/>
        <color rgb="FF00B050"/>
        <rFont val="Century Gothic"/>
        <family val="2"/>
        <scheme val="minor"/>
      </rPr>
      <t xml:space="preserve">
190851 - L - Marti - VD</t>
    </r>
    <r>
      <rPr>
        <sz val="10"/>
        <color rgb="FFFF0000"/>
        <rFont val="Century Gothic"/>
        <family val="2"/>
        <scheme val="minor"/>
      </rPr>
      <t xml:space="preserve">
190832 - M2 - Losinger - VD
Déménager mobilier en bas M1
Préparer WL Bau 190509
Préparer Steiner 190793
Préparer IMS Bottrop 19817
Monter les chaises Neural concept
Charger WL Bau 190509 à 16.00</t>
    </r>
  </si>
  <si>
    <r>
      <t xml:space="preserve">190817 - M2 - IMS Bottrop - GR
190793 - M2 - Steiner - ZU - dès 12.00
</t>
    </r>
    <r>
      <rPr>
        <sz val="10"/>
        <color rgb="FF7030A0"/>
        <rFont val="Century Gothic"/>
        <family val="2"/>
        <scheme val="minor"/>
      </rPr>
      <t>190845 - F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190856 - R - Barras</t>
    </r>
  </si>
  <si>
    <t>190725 - M2 - Frutiger - AG</t>
  </si>
  <si>
    <r>
      <t>190536 - F - Perret
190860 - F - Piasio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190799 - 449 - M1 - Neural Concept - VD 13.30
</t>
    </r>
    <r>
      <rPr>
        <sz val="10"/>
        <color rgb="FF0070C0"/>
        <rFont val="Century Gothic"/>
        <family val="2"/>
        <scheme val="minor"/>
      </rPr>
      <t>190859 - R - TCOB</t>
    </r>
  </si>
  <si>
    <r>
      <t xml:space="preserve">190837 - M1 - Steiner - BS
</t>
    </r>
    <r>
      <rPr>
        <sz val="10"/>
        <color rgb="FF00B050"/>
        <rFont val="Century Gothic"/>
        <family val="2"/>
        <scheme val="minor"/>
      </rPr>
      <t>455 - L - Fagsi - BS</t>
    </r>
    <r>
      <rPr>
        <sz val="10"/>
        <color rgb="FFFF0000"/>
        <rFont val="Century Gothic"/>
        <family val="2"/>
        <scheme val="minor"/>
      </rPr>
      <t xml:space="preserve">
Trier arrivage NARBUTAS
</t>
    </r>
    <r>
      <rPr>
        <sz val="10"/>
        <color rgb="FF0070C0"/>
        <rFont val="Century Gothic"/>
        <family val="2"/>
        <scheme val="minor"/>
      </rPr>
      <t>190729 - R - Implenia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190866 - F - Anliker</t>
    </r>
  </si>
  <si>
    <r>
      <t xml:space="preserve">
LARAG
190737 - M2 - Induni - GE
</t>
    </r>
    <r>
      <rPr>
        <sz val="10"/>
        <color rgb="FF00B050"/>
        <rFont val="Century Gothic"/>
        <family val="2"/>
        <scheme val="minor"/>
      </rPr>
      <t xml:space="preserve">190869 - L - Induni - GE
</t>
    </r>
    <r>
      <rPr>
        <sz val="10"/>
        <color rgb="FFFF0000"/>
        <rFont val="Century Gothic"/>
        <family val="2"/>
        <scheme val="minor"/>
      </rPr>
      <t xml:space="preserve">190773 - M1 - AC Immune - VD
</t>
    </r>
  </si>
  <si>
    <r>
      <t xml:space="preserve">190855 - M3 - Riedo - BE
</t>
    </r>
    <r>
      <rPr>
        <sz val="10"/>
        <color rgb="FF7030A0"/>
        <rFont val="Century Gothic"/>
        <family val="2"/>
        <scheme val="minor"/>
      </rPr>
      <t>190868 - F - Zed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190865 - R - SF Tech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190753 - R - Semo
190847 - R - Anliker</t>
    </r>
  </si>
  <si>
    <r>
      <rPr>
        <sz val="10"/>
        <color rgb="FF7030A0"/>
        <rFont val="Century Gothic"/>
        <family val="2"/>
        <scheme val="minor"/>
      </rPr>
      <t>190874 - F - Piasio</t>
    </r>
    <r>
      <rPr>
        <sz val="10"/>
        <color rgb="FFFF0000"/>
        <rFont val="Century Gothic"/>
        <family val="2"/>
        <scheme val="minor"/>
      </rPr>
      <t xml:space="preserve">
190793 - M2 - Steiner - ZH
</t>
    </r>
    <r>
      <rPr>
        <sz val="10"/>
        <color rgb="FFFFC000"/>
        <rFont val="Century Gothic"/>
        <family val="2"/>
        <scheme val="minor"/>
      </rPr>
      <t>190253 - S - EVAM - VD</t>
    </r>
    <r>
      <rPr>
        <sz val="10"/>
        <color rgb="FFFF0000"/>
        <rFont val="Century Gothic"/>
        <family val="2"/>
        <scheme val="minor"/>
      </rPr>
      <t xml:space="preserve">
Pneus BMW</t>
    </r>
  </si>
  <si>
    <r>
      <rPr>
        <sz val="10"/>
        <color rgb="FF0070C0"/>
        <rFont val="Century Gothic"/>
        <family val="2"/>
        <scheme val="minor"/>
      </rPr>
      <t xml:space="preserve">190849 - R - Perret
190848 - R - Gabella
190885 - R - Marti
190886 - R - Vinzenz  Meier
</t>
    </r>
    <r>
      <rPr>
        <sz val="10"/>
        <color rgb="FFFF0000"/>
        <rFont val="Century Gothic"/>
        <family val="2"/>
        <scheme val="minor"/>
      </rPr>
      <t xml:space="preserve">190761 - M1 - Ferra - VD
</t>
    </r>
    <r>
      <rPr>
        <sz val="10"/>
        <color rgb="FF00B050"/>
        <rFont val="Century Gothic"/>
        <family val="2"/>
        <scheme val="minor"/>
      </rPr>
      <t>190884 - L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190878 - F - Walo</t>
    </r>
    <r>
      <rPr>
        <sz val="10"/>
        <color rgb="FFFF0000"/>
        <rFont val="Century Gothic"/>
        <family val="2"/>
        <scheme val="minor"/>
      </rPr>
      <t xml:space="preserve">
2 machines à café</t>
    </r>
  </si>
  <si>
    <r>
      <t>190810 - M2 - IMS Bottrop - SZ</t>
    </r>
    <r>
      <rPr>
        <sz val="10"/>
        <color rgb="FF0070C0"/>
        <rFont val="Century Gothic"/>
        <family val="2"/>
        <scheme val="minor"/>
      </rPr>
      <t xml:space="preserve">
190890 - R - Implenia
</t>
    </r>
    <r>
      <rPr>
        <sz val="10"/>
        <color rgb="FF7030A0"/>
        <rFont val="Century Gothic"/>
        <family val="2"/>
        <scheme val="minor"/>
      </rPr>
      <t>190889 - F - Containex - LU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190893 - R - Implenia</t>
    </r>
  </si>
  <si>
    <t>190875 - R - IBGS
190877 - R - Maulini
190895 - R - Orllati</t>
  </si>
  <si>
    <r>
      <t xml:space="preserve">190882 - M2 - Riedo - BE 8.30
</t>
    </r>
    <r>
      <rPr>
        <sz val="10"/>
        <color rgb="FF7030A0"/>
        <rFont val="Century Gothic"/>
        <family val="2"/>
        <scheme val="minor"/>
      </rPr>
      <t>190896 - 190897 - F - Containex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190900 - R - Bosson</t>
    </r>
  </si>
  <si>
    <r>
      <rPr>
        <sz val="10"/>
        <color rgb="FF7030A0"/>
        <rFont val="Century Gothic"/>
        <family val="2"/>
        <scheme val="minor"/>
      </rPr>
      <t>190858 - F - Rieder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458 - SAV - Fagsi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190887 - R - Induni
190892 - R - Camandona</t>
    </r>
  </si>
  <si>
    <t>462 -  M2 - WL Bau - VS
190709 - M1 - Rubixcomm</t>
  </si>
  <si>
    <r>
      <t xml:space="preserve">
</t>
    </r>
    <r>
      <rPr>
        <sz val="10"/>
        <color rgb="FFFFC000"/>
        <rFont val="Century Gothic"/>
        <family val="2"/>
        <scheme val="minor"/>
      </rPr>
      <t>190828  - S - Baltensperger - ZH</t>
    </r>
  </si>
  <si>
    <r>
      <t xml:space="preserve">190910 - M4 - Orllati - NE
</t>
    </r>
    <r>
      <rPr>
        <sz val="10"/>
        <color rgb="FF00B050"/>
        <rFont val="Century Gothic"/>
        <family val="2"/>
        <scheme val="minor"/>
      </rPr>
      <t>462 - L - WL BAU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190864 - L - ISS - BE</t>
    </r>
  </si>
  <si>
    <r>
      <t xml:space="preserve">190796 - M2 - Knecht - BS
</t>
    </r>
    <r>
      <rPr>
        <sz val="10"/>
        <color rgb="FF7030A0"/>
        <rFont val="Century Gothic"/>
        <family val="2"/>
        <scheme val="minor"/>
      </rPr>
      <t>190913 - F - HRS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190915 - F - Containex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</si>
  <si>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190642 - M2 - Heitkamp/Strabag - SG
</t>
    </r>
    <r>
      <rPr>
        <sz val="10"/>
        <color rgb="FF0070C0"/>
        <rFont val="Century Gothic"/>
        <family val="2"/>
        <scheme val="minor"/>
      </rPr>
      <t>190916 - R - Fun Body</t>
    </r>
  </si>
  <si>
    <t>190769 - M2 - Radogz - GE
SAV 459 - Induni - GE</t>
  </si>
  <si>
    <r>
      <t xml:space="preserve">
190853 - 467 - M1 - Ferra - VD
</t>
    </r>
    <r>
      <rPr>
        <sz val="10"/>
        <color rgb="FF7030A0"/>
        <rFont val="Century Gothic"/>
        <family val="2"/>
        <scheme val="minor"/>
      </rPr>
      <t>190931 - F - ECM
190934 - F - Martin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190935 - R - Induni</t>
    </r>
  </si>
  <si>
    <r>
      <rPr>
        <sz val="10"/>
        <color rgb="FF00B050"/>
        <rFont val="Century Gothic"/>
        <family val="2"/>
        <scheme val="minor"/>
      </rPr>
      <t xml:space="preserve">190925 - L - Maulini SA - GE
190919 - L - Maulini - GE
190926 - L - Piasio - GE
</t>
    </r>
    <r>
      <rPr>
        <sz val="10"/>
        <color theme="1"/>
        <rFont val="Century Gothic"/>
        <family val="2"/>
        <scheme val="minor"/>
      </rPr>
      <t xml:space="preserve">Déchetterie Bilel après-midi
</t>
    </r>
    <r>
      <rPr>
        <sz val="10"/>
        <color rgb="FFFFC000"/>
        <rFont val="Century Gothic"/>
        <family val="2"/>
        <scheme val="minor"/>
      </rPr>
      <t xml:space="preserve">190924 - S - Dénériaz
190921 - S - Steiner
</t>
    </r>
    <r>
      <rPr>
        <sz val="10"/>
        <color rgb="FF0070C0"/>
        <rFont val="Century Gothic"/>
        <family val="2"/>
        <scheme val="minor"/>
      </rPr>
      <t xml:space="preserve">190929 - R - Mino
190927 - R - Equipement PRO
</t>
    </r>
  </si>
  <si>
    <r>
      <t xml:space="preserve">190636 - 190660 - 190661 - 190932 - M4 - Losinger - VD 
Atelier 93 à prévenir pour l'heure 078.723.54.43
</t>
    </r>
    <r>
      <rPr>
        <sz val="10"/>
        <color rgb="FF0070C0"/>
        <rFont val="Century Gothic"/>
        <family val="2"/>
        <scheme val="minor"/>
      </rPr>
      <t>190940 - 190941 - R - Perrin</t>
    </r>
  </si>
  <si>
    <r>
      <t xml:space="preserve">190636 - 190660 - 190661 - M4 - Losinger - VD
</t>
    </r>
    <r>
      <rPr>
        <sz val="10"/>
        <color rgb="FF0070C0"/>
        <rFont val="Century Gothic"/>
        <family val="2"/>
        <scheme val="minor"/>
      </rPr>
      <t>190936 - R - Sillicon Malley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190944 - R - Jäggi+Hafter - ZH</t>
    </r>
  </si>
  <si>
    <r>
      <t xml:space="preserve">
190731 - M2 -Projet-Co - VD
</t>
    </r>
    <r>
      <rPr>
        <sz val="10"/>
        <color rgb="FF0070C0"/>
        <rFont val="Century Gothic"/>
        <family val="2"/>
        <scheme val="minor"/>
      </rPr>
      <t>190867 - R - Marti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190911 - S -  Steiner AG - ZH</t>
    </r>
    <r>
      <rPr>
        <sz val="10"/>
        <color rgb="FFFF0000"/>
        <rFont val="Century Gothic"/>
        <family val="2"/>
        <scheme val="minor"/>
      </rPr>
      <t xml:space="preserve">
190735 - M1 - AC Immune -VD
190894 - M1 - Membrez - VD
</t>
    </r>
    <r>
      <rPr>
        <sz val="10"/>
        <color rgb="FFFFC000"/>
        <rFont val="Century Gothic"/>
        <family val="2"/>
        <scheme val="minor"/>
      </rPr>
      <t>190917 - S - Heitkamp - SG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190922 - R- Grisoni - FR
190928 - R - Toro - GR</t>
    </r>
  </si>
  <si>
    <r>
      <t xml:space="preserve">190636 - 190660 - 190661 - M4 - Losinger - VD
</t>
    </r>
    <r>
      <rPr>
        <sz val="10"/>
        <color rgb="FF0070C0"/>
        <rFont val="Century Gothic"/>
        <family val="2"/>
        <scheme val="minor"/>
      </rPr>
      <t>190946 - R - MINO
190949 - R - Dénériaz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</si>
  <si>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0000"/>
        <rFont val="Century Gothic"/>
        <family val="2"/>
        <scheme val="minor"/>
      </rPr>
      <t>190933 - M1 - Losinger - GE</t>
    </r>
    <r>
      <rPr>
        <sz val="10"/>
        <color rgb="FF00B050"/>
        <rFont val="Century Gothic"/>
        <family val="2"/>
        <scheme val="minor"/>
      </rPr>
      <t xml:space="preserve">
190942 - L - Perret - GE
190952 - L - Rampini - GE
</t>
    </r>
    <r>
      <rPr>
        <sz val="10"/>
        <color theme="1"/>
        <rFont val="Century Gothic"/>
        <family val="2"/>
        <scheme val="minor"/>
      </rPr>
      <t>Récup. pneus G. Etoiles Renens</t>
    </r>
  </si>
  <si>
    <r>
      <rPr>
        <sz val="10"/>
        <color rgb="FF00B050"/>
        <rFont val="Century Gothic"/>
        <family val="2"/>
        <scheme val="minor"/>
      </rPr>
      <t xml:space="preserve">190820 - 190287 - L - Roth - VD
</t>
    </r>
    <r>
      <rPr>
        <sz val="10"/>
        <rFont val="Century Gothic"/>
        <family val="2"/>
        <scheme val="minor"/>
      </rPr>
      <t>Changement pneus LARAG 8h00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190880 - R - Filap
</t>
    </r>
    <r>
      <rPr>
        <sz val="10"/>
        <color rgb="FF7030A0"/>
        <rFont val="Century Gothic"/>
        <family val="2"/>
        <scheme val="minor"/>
      </rPr>
      <t>469 - F - IBGS</t>
    </r>
    <r>
      <rPr>
        <sz val="10"/>
        <color rgb="FFFF0000"/>
        <rFont val="Century Gothic"/>
        <family val="2"/>
        <scheme val="minor"/>
      </rPr>
      <t xml:space="preserve">
190218 - M1 - Rubixcomm - VD 10.00
190948 - M1 - Dénériaz - VD</t>
    </r>
  </si>
  <si>
    <r>
      <t xml:space="preserve">Stagiaire
</t>
    </r>
    <r>
      <rPr>
        <sz val="10"/>
        <color theme="1"/>
        <rFont val="Century Gothic"/>
        <family val="2"/>
        <scheme val="minor"/>
      </rPr>
      <t>Déchetterie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190947 - F - Orllati -VD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190951 - R - Pro Routes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471 - L - Rampini - GE</t>
    </r>
    <r>
      <rPr>
        <sz val="10"/>
        <color rgb="FFFF0000"/>
        <rFont val="Century Gothic"/>
        <family val="2"/>
        <scheme val="minor"/>
      </rPr>
      <t xml:space="preserve">
190955 - 472 - M2 - Restostep - VD
</t>
    </r>
    <r>
      <rPr>
        <sz val="10"/>
        <color rgb="FF0070C0"/>
        <rFont val="Century Gothic"/>
        <family val="2"/>
        <scheme val="minor"/>
      </rPr>
      <t xml:space="preserve">2189;2186 - R - Landi </t>
    </r>
  </si>
  <si>
    <r>
      <t xml:space="preserve">
Stagiaire
</t>
    </r>
    <r>
      <rPr>
        <sz val="10"/>
        <color rgb="FF7030A0"/>
        <rFont val="Century Gothic"/>
        <family val="2"/>
        <scheme val="minor"/>
      </rPr>
      <t>190954 - F - Bollini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190945;190950 - L - Perret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190937 - L - GH - VD</t>
    </r>
  </si>
  <si>
    <r>
      <rPr>
        <sz val="10"/>
        <rFont val="Century Gothic"/>
        <family val="2"/>
        <scheme val="minor"/>
      </rPr>
      <t>Arrivage Narbutas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190958 - M1 - Losinger - VD</t>
    </r>
  </si>
  <si>
    <r>
      <rPr>
        <sz val="10"/>
        <color rgb="FF0070C0"/>
        <rFont val="Century Gothic"/>
        <family val="2"/>
        <scheme val="minor"/>
      </rPr>
      <t>190963 - R - Hernandez</t>
    </r>
    <r>
      <rPr>
        <sz val="10"/>
        <color rgb="FF00B050"/>
        <rFont val="Century Gothic"/>
        <family val="2"/>
        <scheme val="minor"/>
      </rPr>
      <t xml:space="preserve">
190909 - L - Ropraz - FR</t>
    </r>
    <r>
      <rPr>
        <sz val="10"/>
        <color rgb="FFFF0000"/>
        <rFont val="Century Gothic"/>
        <family val="2"/>
        <scheme val="minor"/>
      </rPr>
      <t xml:space="preserve">
190863 - 190961 – M2 - AC Immune – VD</t>
    </r>
  </si>
  <si>
    <t>190943 - M2 - Birchmeier - ZH</t>
  </si>
  <si>
    <r>
      <t xml:space="preserve">Arrivage MADES
</t>
    </r>
    <r>
      <rPr>
        <sz val="10"/>
        <color rgb="FF0070C0"/>
        <rFont val="Century Gothic"/>
        <family val="2"/>
        <scheme val="minor"/>
      </rPr>
      <t>190960 - R - Frutiger -BE
190966 - R - Grisoni-Zaugg - FR</t>
    </r>
  </si>
  <si>
    <r>
      <t xml:space="preserve">190970 - L - Grisoni-Zaugg
190966 - L - Grisoni - FR
</t>
    </r>
    <r>
      <rPr>
        <sz val="10"/>
        <color rgb="FFFF0000"/>
        <rFont val="Century Gothic"/>
        <family val="2"/>
        <scheme val="minor"/>
      </rPr>
      <t>190906 - M1 - IMS Bottrop - GR
461 - IMS Bottrop - GR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190975 - F - Camandona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190974 - F - Perret</t>
    </r>
  </si>
  <si>
    <r>
      <rPr>
        <sz val="10"/>
        <color theme="1"/>
        <rFont val="Century Gothic"/>
        <family val="2"/>
        <scheme val="minor"/>
      </rPr>
      <t>Arrivage Narbutas?</t>
    </r>
    <r>
      <rPr>
        <sz val="10"/>
        <color rgb="FF7030A0"/>
        <rFont val="Century Gothic"/>
        <family val="2"/>
        <scheme val="minor"/>
      </rPr>
      <t xml:space="preserve">
190975 - F - Camandona - VD
</t>
    </r>
    <r>
      <rPr>
        <sz val="10"/>
        <color rgb="FFFF0000"/>
        <rFont val="Century Gothic"/>
        <family val="2"/>
        <scheme val="minor"/>
      </rPr>
      <t>474 - M1 - ISS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190804 -  R - CiG/Infratunnel - VS
190982 - R - Strabag - BE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190968 - L - AC Immune SA</t>
    </r>
  </si>
  <si>
    <r>
      <rPr>
        <sz val="10"/>
        <color theme="1"/>
        <rFont val="Century Gothic"/>
        <family val="2"/>
        <scheme val="minor"/>
      </rPr>
      <t>Stagiaire</t>
    </r>
    <r>
      <rPr>
        <sz val="10"/>
        <color rgb="FF00B050"/>
        <rFont val="Century Gothic"/>
        <family val="2"/>
        <scheme val="minor"/>
      </rPr>
      <t xml:space="preserve">
190967 - L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190871;190888 - L - Induni - GE 190899 - L - Scrasa - GE
</t>
    </r>
    <r>
      <rPr>
        <sz val="10"/>
        <color rgb="FF7030A0"/>
        <rFont val="Century Gothic"/>
        <family val="2"/>
        <scheme val="minor"/>
      </rPr>
      <t>190879 - F - Tellco - VD</t>
    </r>
  </si>
  <si>
    <t xml:space="preserve">190953 - R- A+M Miauton - FR
190973 - R - Birchmeier - AG
190976 - R - Avesco Rent
190977- R - Perrin - VD </t>
  </si>
  <si>
    <t>190987 - R - AVESCO
190983 - R - Anliker - SZ</t>
  </si>
  <si>
    <r>
      <t xml:space="preserve">190985 - M1 - Losinger Marazzi - GE
</t>
    </r>
    <r>
      <rPr>
        <sz val="10"/>
        <color rgb="FF00B050"/>
        <rFont val="Century Gothic"/>
        <family val="2"/>
        <scheme val="minor"/>
      </rPr>
      <t>476 - L  - Consulat El Salvador - GE</t>
    </r>
  </si>
  <si>
    <r>
      <rPr>
        <sz val="10"/>
        <color theme="1"/>
        <rFont val="Century Gothic"/>
        <family val="2"/>
        <scheme val="minor"/>
      </rPr>
      <t>Stagiaire</t>
    </r>
    <r>
      <rPr>
        <sz val="10"/>
        <color rgb="FFFF0000"/>
        <rFont val="Century Gothic"/>
        <family val="2"/>
        <scheme val="minor"/>
      </rPr>
      <t xml:space="preserve">
190805 - M2 - B-Sharpe - GE 
190905 - M2 - B-Sharpe - GE
</t>
    </r>
    <r>
      <rPr>
        <sz val="10"/>
        <color rgb="FF0070C0"/>
        <rFont val="Century Gothic"/>
        <family val="2"/>
        <scheme val="minor"/>
      </rPr>
      <t>190984 - R - Frutiger AG - BE</t>
    </r>
    <r>
      <rPr>
        <sz val="10"/>
        <color rgb="FFFF0000"/>
        <rFont val="Century Gothic"/>
        <family val="2"/>
        <scheme val="minor"/>
      </rPr>
      <t xml:space="preserve">
</t>
    </r>
  </si>
  <si>
    <t xml:space="preserve">190996 - F - Perret
</t>
  </si>
  <si>
    <t>190510 - M4 - WL Bau - TI</t>
  </si>
  <si>
    <r>
      <t xml:space="preserve">191001 - F - Martin&amp;CO
</t>
    </r>
    <r>
      <rPr>
        <sz val="10"/>
        <color rgb="FF0070C0"/>
        <rFont val="Century Gothic"/>
        <family val="2"/>
        <scheme val="minor"/>
      </rPr>
      <t>190999 - R - Sky Wings - BE
191007 - R - Perrin
191005 - R - Frutiger - BE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190997 - M2 - Boxplays - GE</t>
    </r>
  </si>
  <si>
    <r>
      <t xml:space="preserve">Changement roues VW </t>
    </r>
    <r>
      <rPr>
        <b/>
        <sz val="10"/>
        <color theme="1" tint="0.249977111117893"/>
        <rFont val="Century Gothic"/>
        <family val="2"/>
        <scheme val="minor"/>
      </rPr>
      <t>Amag</t>
    </r>
    <r>
      <rPr>
        <sz val="10"/>
        <color theme="1" tint="0.249977111117893"/>
        <rFont val="Century Gothic"/>
        <family val="2"/>
        <scheme val="minor"/>
      </rPr>
      <t xml:space="preserve"> 7h30
</t>
    </r>
    <r>
      <rPr>
        <sz val="10"/>
        <color rgb="FF7030A0"/>
        <rFont val="Century Gothic"/>
        <family val="2"/>
        <scheme val="minor"/>
      </rPr>
      <t>190964 - F - Synergiq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190986 - R - Anliker - LU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190873 - M2 - Cameca - VD</t>
    </r>
  </si>
  <si>
    <r>
      <rPr>
        <sz val="10"/>
        <color rgb="FFFF0000"/>
        <rFont val="Century Gothic"/>
        <family val="2"/>
        <scheme val="minor"/>
      </rPr>
      <t xml:space="preserve">190510 - M4 - WL Bau - TI (déchargement)
</t>
    </r>
    <r>
      <rPr>
        <sz val="10"/>
        <color rgb="FF0070C0"/>
        <rFont val="Century Gothic"/>
        <family val="2"/>
        <scheme val="minor"/>
      </rPr>
      <t>191010 - R - Grisoni-Zaugg - FR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</si>
  <si>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Changement roues Dacia 7h30
Contrôle pare-brise avant
</t>
    </r>
    <r>
      <rPr>
        <sz val="10"/>
        <color rgb="FF00B050"/>
        <rFont val="Century Gothic"/>
        <family val="2"/>
        <scheme val="minor"/>
      </rPr>
      <t xml:space="preserve">191008 - L - Cons 4J forJAG - GE
</t>
    </r>
    <r>
      <rPr>
        <sz val="10"/>
        <color rgb="FFFF0000"/>
        <rFont val="Century Gothic"/>
        <family val="2"/>
        <scheme val="minor"/>
      </rPr>
      <t xml:space="preserve">190971 - 191011 - M1 - Losinger Marazzi 
</t>
    </r>
    <r>
      <rPr>
        <sz val="10"/>
        <color rgb="FF00B050"/>
        <rFont val="Century Gothic"/>
        <family val="2"/>
        <scheme val="minor"/>
      </rPr>
      <t>191006 - L - Loxam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191009 - L - Piasio - GE
</t>
    </r>
    <r>
      <rPr>
        <sz val="10"/>
        <color rgb="FF0070C0"/>
        <rFont val="Century Gothic"/>
        <family val="2"/>
        <scheme val="minor"/>
      </rPr>
      <t>190991 - R - Anliker - SZ</t>
    </r>
  </si>
  <si>
    <r>
      <rPr>
        <sz val="10"/>
        <color rgb="FF0070C0"/>
        <rFont val="Century Gothic"/>
        <family val="2"/>
        <scheme val="minor"/>
      </rPr>
      <t>482 - R - GH SA?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190873 - M2 - Cameca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191018 - F - JPF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191019 - M1 - Caracas - VD
</t>
    </r>
    <r>
      <rPr>
        <sz val="10"/>
        <color rgb="FF0070C0"/>
        <rFont val="Century Gothic"/>
        <family val="2"/>
        <scheme val="minor"/>
      </rPr>
      <t>191012 - 191013 - 191014 - R - Semo
191017 - R - EMS Novalles</t>
    </r>
  </si>
  <si>
    <r>
      <t xml:space="preserve">
</t>
    </r>
    <r>
      <rPr>
        <sz val="10"/>
        <color rgb="FF7030A0"/>
        <rFont val="Century Gothic"/>
        <family val="2"/>
        <scheme val="minor"/>
      </rPr>
      <t>191021 - F - Eglise Néo Apost. - VD</t>
    </r>
  </si>
  <si>
    <r>
      <t xml:space="preserve">191016 - R - ADV - GE
191026 - R - Equipements Pro - FR
191028 - R - Laurent Membrez - VD
191015 - R - Sky Wings - BE
191025 - R - Riedo- FR
</t>
    </r>
    <r>
      <rPr>
        <sz val="10"/>
        <color theme="1"/>
        <rFont val="Century Gothic"/>
        <family val="2"/>
        <scheme val="minor"/>
      </rPr>
      <t>FT 476 - Stock</t>
    </r>
    <r>
      <rPr>
        <sz val="10"/>
        <color rgb="FF0070C0"/>
        <rFont val="Century Gothic"/>
        <family val="2"/>
        <scheme val="minor"/>
      </rPr>
      <t xml:space="preserve">
</t>
    </r>
  </si>
  <si>
    <t>190989 - M - Westelectro - VD</t>
  </si>
  <si>
    <r>
      <t>191023 - M1 - Caracas - VD</t>
    </r>
    <r>
      <rPr>
        <sz val="10"/>
        <color rgb="FF7030A0"/>
        <rFont val="Century Gothic"/>
        <family val="2"/>
        <scheme val="minor"/>
      </rPr>
      <t xml:space="preserve">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191035 - R- Ropraz - FR
191045 - R - Riedo - BE</t>
    </r>
  </si>
  <si>
    <r>
      <rPr>
        <sz val="10"/>
        <color rgb="FFFF0000"/>
        <rFont val="Century Gothic"/>
        <family val="2"/>
        <scheme val="minor"/>
      </rPr>
      <t>191032 - M2 - Losinger - Déménagement - (GE-VD)</t>
    </r>
    <r>
      <rPr>
        <sz val="10"/>
        <color theme="5" tint="-0.499984740745262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191042 - M2 - Losinger - VD
</t>
    </r>
    <r>
      <rPr>
        <sz val="10"/>
        <color rgb="FF0070C0"/>
        <rFont val="Century Gothic"/>
        <family val="2"/>
        <scheme val="minor"/>
      </rPr>
      <t>190907 - R - WL Bau</t>
    </r>
    <r>
      <rPr>
        <sz val="10"/>
        <color theme="5" tint="-0.499984740745262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191041 - R - Roth Echafaudages - FR</t>
    </r>
  </si>
  <si>
    <r>
      <t xml:space="preserve">190901 - M1 - Dénériaz - VD
</t>
    </r>
    <r>
      <rPr>
        <sz val="10"/>
        <rFont val="Century Gothic"/>
        <family val="2"/>
        <scheme val="minor"/>
      </rPr>
      <t>2149 - Landi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465 - L - IBGS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190904 - F - Perrin</t>
    </r>
    <r>
      <rPr>
        <sz val="10"/>
        <color rgb="FFFF0000"/>
        <rFont val="Century Gothic"/>
        <family val="2"/>
        <scheme val="minor"/>
      </rPr>
      <t xml:space="preserve">
Préparer bibliothèques Jéremy G.
</t>
    </r>
    <r>
      <rPr>
        <sz val="10"/>
        <color rgb="FF0070C0"/>
        <rFont val="Century Gothic"/>
        <family val="2"/>
        <scheme val="minor"/>
      </rPr>
      <t>190902 - 190903 - R - Maulini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190898 - S - EVAM - VD à préparer</t>
    </r>
  </si>
  <si>
    <r>
      <rPr>
        <sz val="10"/>
        <color rgb="FFFF0000"/>
        <rFont val="Century Gothic"/>
        <family val="2"/>
        <scheme val="minor"/>
      </rPr>
      <t>Déménagement RENTAS à 7h45</t>
    </r>
    <r>
      <rPr>
        <sz val="10"/>
        <color theme="1" tint="0.249977111117893"/>
        <rFont val="Century Gothic"/>
        <family val="2"/>
        <scheme val="minor"/>
      </rPr>
      <t xml:space="preserve">
Arrivage Narbutas
</t>
    </r>
    <r>
      <rPr>
        <sz val="10"/>
        <color rgb="FF0070C0"/>
        <rFont val="Century Gothic"/>
        <family val="2"/>
        <scheme val="minor"/>
      </rPr>
      <t xml:space="preserve">191049/191024  - R- Orllati 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 482 - R - GH SA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191050 - R -ARGE GERA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191046 - F - Perrin - VD</t>
    </r>
  </si>
  <si>
    <r>
      <t xml:space="preserve">
</t>
    </r>
    <r>
      <rPr>
        <sz val="10"/>
        <color rgb="FF7030A0"/>
        <rFont val="Century Gothic"/>
        <family val="2"/>
        <scheme val="minor"/>
      </rPr>
      <t>191056 - F - Laurent Membrez GE</t>
    </r>
  </si>
  <si>
    <r>
      <t xml:space="preserve">
</t>
    </r>
    <r>
      <rPr>
        <sz val="10"/>
        <color rgb="FF0070C0"/>
        <rFont val="Century Gothic"/>
        <family val="2"/>
        <scheme val="minor"/>
      </rPr>
      <t>191055 - R - CTM 4J for JAG - GE
190957 - R - Estée Lauder - AG
191039 - R - Frutiger - BE
191046 - R - Perrin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190891 - M2 - Orllati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468 - M2 - Projet-Co - VD</t>
    </r>
  </si>
  <si>
    <t xml:space="preserve">
190710 - M3 - Colas - GE
</t>
  </si>
  <si>
    <r>
      <rPr>
        <sz val="10"/>
        <color rgb="FF0070C0"/>
        <rFont val="Century Gothic"/>
        <family val="2"/>
        <scheme val="minor"/>
      </rPr>
      <t>191051 - R - Perret - GE</t>
    </r>
    <r>
      <rPr>
        <sz val="10"/>
        <color rgb="FFFF0000"/>
        <rFont val="Century Gothic"/>
        <family val="2"/>
        <scheme val="minor"/>
      </rPr>
      <t xml:space="preserve">
191043 - M1 - Boas - VD
190710 - M2 - Colas - GE
</t>
    </r>
    <r>
      <rPr>
        <sz val="10"/>
        <color theme="8" tint="-0.249977111117893"/>
        <rFont val="Century Gothic"/>
        <family val="2"/>
        <scheme val="minor"/>
      </rPr>
      <t>190907 - S - WL Bau - SG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191060 - R - Anliker - LU
</t>
    </r>
    <r>
      <rPr>
        <sz val="10"/>
        <color theme="8" tint="-0.249977111117893"/>
        <rFont val="Century Gothic"/>
        <family val="2"/>
        <scheme val="minor"/>
      </rPr>
      <t>191054 - S - Getaz-Miauton VS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</si>
  <si>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>190938 - M2 - AC Immune VD 7h45</t>
    </r>
    <r>
      <rPr>
        <sz val="10"/>
        <color theme="1" tint="0.249977111117893"/>
        <rFont val="Century Gothic"/>
        <family val="2"/>
        <scheme val="minor"/>
      </rPr>
      <t xml:space="preserve">
Inventaire pas de livraison
</t>
    </r>
  </si>
  <si>
    <r>
      <rPr>
        <sz val="10"/>
        <rFont val="Century Gothic"/>
        <family val="2"/>
        <scheme val="minor"/>
      </rPr>
      <t>Arrivage Mades 8h00</t>
    </r>
    <r>
      <rPr>
        <sz val="10"/>
        <color rgb="FFFF0000"/>
        <rFont val="Century Gothic"/>
        <family val="2"/>
        <scheme val="minor"/>
      </rPr>
      <t xml:space="preserve">
449 - Récupération mobilier Neural Concept matin 8h15
190288 - M3 - ADOBESE - VD 10h
</t>
    </r>
    <r>
      <rPr>
        <sz val="10"/>
        <color rgb="FF00B050"/>
        <rFont val="Century Gothic"/>
        <family val="2"/>
        <scheme val="minor"/>
      </rPr>
      <t>191053 - L - Adobes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ARGE - S - 191063 -KiKri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Mades - 190814 - Riedo préparer!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190956 - R - Fagsi - LU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 xml:space="preserve">190814 - S - Riedo - ZH </t>
    </r>
  </si>
  <si>
    <r>
      <t xml:space="preserve">
191029 - M2 - Biff - VD 7h30
486 - Caracas
190288 - M2 - ADOBESE - VD 10h
</t>
    </r>
    <r>
      <rPr>
        <sz val="10"/>
        <color rgb="FF0070C0"/>
        <rFont val="Century Gothic"/>
        <family val="2"/>
        <scheme val="minor"/>
      </rPr>
      <t>191066 - R - Mino (FT490)
191062 - R - Millet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191067 - F - AD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191068 - R - Milliquet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</si>
</sst>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9">
    <font>
      <sz val="1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name val="Arial"/>
      <family val="2"/>
    </font>
    <font>
      <sz val="11"/>
      <name val="Century Gothic"/>
      <family val="2"/>
    </font>
    <font>
      <sz val="11"/>
      <name val="Century Gothic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b/>
      <sz val="9"/>
      <color indexed="81"/>
      <name val="Geneva"/>
    </font>
    <font>
      <sz val="10"/>
      <color rgb="FFFF0000"/>
      <name val="Century Gothic"/>
      <family val="2"/>
      <scheme val="minor"/>
    </font>
    <font>
      <sz val="10"/>
      <color rgb="FF00B050"/>
      <name val="Century Gothic"/>
      <family val="2"/>
      <scheme val="minor"/>
    </font>
    <font>
      <sz val="10"/>
      <color rgb="FF7030A0"/>
      <name val="Century Gothic"/>
      <family val="2"/>
      <scheme val="minor"/>
    </font>
    <font>
      <sz val="10"/>
      <name val="Century Gothic"/>
      <family val="2"/>
      <scheme val="minor"/>
    </font>
    <font>
      <sz val="10"/>
      <color rgb="FF0070C0"/>
      <name val="Century Gothic"/>
      <family val="2"/>
      <scheme val="minor"/>
    </font>
    <font>
      <b/>
      <sz val="10"/>
      <color rgb="FFFF0000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rgb="FF002060"/>
      <name val="Century Gothic"/>
      <family val="2"/>
      <scheme val="minor"/>
    </font>
    <font>
      <sz val="10"/>
      <color rgb="FF00B0F0"/>
      <name val="Century Gothic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C000"/>
      <name val="Century Gothic"/>
      <family val="2"/>
      <scheme val="minor"/>
    </font>
    <font>
      <b/>
      <sz val="10"/>
      <color theme="1" tint="0.249977111117893"/>
      <name val="Century Gothic"/>
      <family val="2"/>
      <scheme val="minor"/>
    </font>
    <font>
      <sz val="10"/>
      <color theme="5" tint="-0.499984740745262"/>
      <name val="Century Gothic"/>
      <family val="2"/>
      <scheme val="minor"/>
    </font>
    <font>
      <sz val="10"/>
      <color theme="8" tint="-0.249977111117893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/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</borders>
  <cellStyleXfs count="5">
    <xf numFmtId="0" fontId="0" fillId="0" borderId="0"/>
    <xf numFmtId="0" fontId="9" fillId="0" borderId="0" applyNumberFormat="0" applyFill="0" applyAlignment="0" applyProtection="0"/>
    <xf numFmtId="0" fontId="2" fillId="3" borderId="1" applyNumberFormat="0" applyAlignment="0" applyProtection="0"/>
    <xf numFmtId="0" fontId="11" fillId="4" borderId="0" applyNumberFormat="0" applyBorder="0" applyAlignment="0" applyProtection="0"/>
    <xf numFmtId="0" fontId="10" fillId="5" borderId="3" applyNumberFormat="0" applyProtection="0">
      <alignment vertical="center"/>
    </xf>
  </cellStyleXfs>
  <cellXfs count="4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0" borderId="0" xfId="0" applyFont="1"/>
    <xf numFmtId="165" fontId="8" fillId="0" borderId="1" xfId="0" applyNumberFormat="1" applyFont="1" applyBorder="1" applyAlignment="1">
      <alignment horizontal="left" vertical="center" wrapText="1" indent="1"/>
    </xf>
    <xf numFmtId="165" fontId="8" fillId="2" borderId="1" xfId="0" applyNumberFormat="1" applyFont="1" applyFill="1" applyBorder="1" applyAlignment="1">
      <alignment horizontal="left" vertical="center" wrapText="1" indent="1"/>
    </xf>
    <xf numFmtId="0" fontId="11" fillId="4" borderId="4" xfId="3" applyBorder="1" applyAlignment="1">
      <alignment horizontal="right" vertical="center" wrapText="1"/>
    </xf>
    <xf numFmtId="0" fontId="11" fillId="4" borderId="5" xfId="3" applyBorder="1" applyAlignment="1">
      <alignment vertical="center"/>
    </xf>
    <xf numFmtId="165" fontId="7" fillId="0" borderId="6" xfId="0" applyNumberFormat="1" applyFont="1" applyBorder="1" applyAlignment="1">
      <alignment horizontal="left" vertical="center" indent="1"/>
    </xf>
    <xf numFmtId="165" fontId="8" fillId="0" borderId="7" xfId="0" applyNumberFormat="1" applyFont="1" applyBorder="1" applyAlignment="1">
      <alignment horizontal="left" vertical="center" wrapText="1" indent="1"/>
    </xf>
    <xf numFmtId="165" fontId="8" fillId="0" borderId="6" xfId="0" applyNumberFormat="1" applyFont="1" applyBorder="1" applyAlignment="1">
      <alignment horizontal="left" vertical="center" wrapText="1" indent="1"/>
    </xf>
    <xf numFmtId="165" fontId="8" fillId="2" borderId="6" xfId="0" applyNumberFormat="1" applyFont="1" applyFill="1" applyBorder="1" applyAlignment="1">
      <alignment horizontal="left" vertical="center" wrapText="1" indent="1"/>
    </xf>
    <xf numFmtId="165" fontId="8" fillId="2" borderId="7" xfId="0" applyNumberFormat="1" applyFont="1" applyFill="1" applyBorder="1" applyAlignment="1">
      <alignment horizontal="left" vertical="center" wrapText="1" indent="1"/>
    </xf>
    <xf numFmtId="0" fontId="2" fillId="3" borderId="11" xfId="2" applyBorder="1" applyAlignment="1">
      <alignment horizontal="center" vertical="center"/>
    </xf>
    <xf numFmtId="0" fontId="2" fillId="3" borderId="12" xfId="2" applyBorder="1" applyAlignment="1">
      <alignment horizontal="center" vertical="center"/>
    </xf>
    <xf numFmtId="0" fontId="2" fillId="3" borderId="13" xfId="2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12" fillId="4" borderId="6" xfId="3" applyFont="1" applyBorder="1" applyAlignment="1">
      <alignment horizontal="left" vertical="center" wrapText="1" indent="1"/>
    </xf>
    <xf numFmtId="0" fontId="12" fillId="4" borderId="7" xfId="3" applyFont="1" applyBorder="1" applyAlignment="1">
      <alignment horizontal="left" vertical="center" wrapText="1" indent="1"/>
    </xf>
    <xf numFmtId="0" fontId="12" fillId="4" borderId="9" xfId="3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left" vertical="center" wrapText="1" indent="1"/>
    </xf>
    <xf numFmtId="0" fontId="20" fillId="6" borderId="1" xfId="0" applyFont="1" applyFill="1" applyBorder="1" applyAlignment="1">
      <alignment horizontal="left" vertical="center" wrapText="1" indent="1"/>
    </xf>
    <xf numFmtId="0" fontId="23" fillId="0" borderId="0" xfId="0" applyFont="1" applyAlignment="1">
      <alignment vertical="center" wrapText="1"/>
    </xf>
    <xf numFmtId="0" fontId="17" fillId="0" borderId="1" xfId="0" applyFont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left" vertical="center" wrapText="1" indent="1"/>
    </xf>
    <xf numFmtId="164" fontId="9" fillId="2" borderId="0" xfId="1" applyNumberFormat="1" applyFill="1" applyAlignment="1">
      <alignment horizontal="center" vertical="center"/>
    </xf>
    <xf numFmtId="0" fontId="3" fillId="3" borderId="14" xfId="2" applyFont="1" applyBorder="1" applyAlignment="1">
      <alignment horizontal="left" vertical="center" wrapText="1"/>
    </xf>
    <xf numFmtId="0" fontId="3" fillId="3" borderId="15" xfId="2" applyFont="1" applyBorder="1" applyAlignment="1">
      <alignment horizontal="left" vertical="center" wrapText="1"/>
    </xf>
    <xf numFmtId="0" fontId="3" fillId="3" borderId="16" xfId="2" applyFont="1" applyBorder="1" applyAlignment="1">
      <alignment horizontal="left" vertical="center" wrapText="1"/>
    </xf>
    <xf numFmtId="165" fontId="2" fillId="3" borderId="2" xfId="2" applyNumberFormat="1" applyBorder="1" applyAlignment="1">
      <alignment horizontal="left" vertical="center" wrapText="1"/>
    </xf>
    <xf numFmtId="165" fontId="2" fillId="3" borderId="8" xfId="2" applyNumberFormat="1" applyBorder="1" applyAlignment="1">
      <alignment horizontal="left" vertical="center" wrapText="1"/>
    </xf>
  </cellXfs>
  <cellStyles count="5">
    <cellStyle name="40 % - Accent1" xfId="3" builtinId="31" customBuiltin="1"/>
    <cellStyle name="Accent1" xfId="2" builtinId="29" customBuiltin="1"/>
    <cellStyle name="Accent5" xfId="4" builtinId="45" customBuiltin="1"/>
    <cellStyle name="Normal" xfId="0" builtinId="0" customBuiltin="1"/>
    <cellStyle name="Titre 1" xfId="1" builtinId="16" customBuiltin="1"/>
  </cellStyles>
  <dxfs count="3"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18" totalsRowShown="0" headerRowDxfId="2" dataDxfId="1">
  <autoFilter ref="A1:A18" xr:uid="{00000000-0009-0000-0100-000001000000}"/>
  <tableColumns count="1">
    <tableColumn id="1" xr3:uid="{00000000-0010-0000-0000-000001000000}" name="Ye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showGridLines="0" topLeftCell="B10" workbookViewId="0">
      <selection activeCell="F12" sqref="F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DATE(CalendarYear,1,1)</f>
        <v>43466</v>
      </c>
      <c r="C1" s="39"/>
      <c r="D1" s="39"/>
      <c r="E1" s="39"/>
      <c r="F1" s="39"/>
      <c r="G1" s="39"/>
      <c r="H1" s="39"/>
      <c r="J1" s="7" t="s">
        <v>10</v>
      </c>
      <c r="K1" s="8">
        <v>2019</v>
      </c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>
        <f>IF(AND(YEAR(JanSun1+2)=CalendarYear,MONTH(JanSun1+2)=1),JanSun1+2, "")</f>
        <v>43466</v>
      </c>
      <c r="E3" s="5">
        <f>IF(AND(YEAR(JanSun1+3)=CalendarYear,MONTH(JanSun1+3)=1),JanSun1+3, "")</f>
        <v>43467</v>
      </c>
      <c r="F3" s="5">
        <f>IF(AND(YEAR(JanSun1+4)=CalendarYear,MONTH(JanSun1+4)=1),JanSun1+4, "")</f>
        <v>43468</v>
      </c>
      <c r="G3" s="5">
        <f>IF(AND(YEAR(JanSun1+5)=CalendarYear,MONTH(JanSun1+5)=1),JanSun1+5, "")</f>
        <v>43469</v>
      </c>
      <c r="H3" s="10">
        <f>IF(AND(YEAR(JanSun1+6)=CalendarYear,MONTH(JanSun1+6)=1),JanSun1+6, "")</f>
        <v>43470</v>
      </c>
    </row>
    <row r="4" spans="1:11" ht="90" customHeight="1">
      <c r="B4" s="21" t="s">
        <v>11</v>
      </c>
      <c r="C4" s="18"/>
      <c r="D4" s="19"/>
      <c r="E4" s="19"/>
      <c r="F4" s="19"/>
      <c r="G4" s="19"/>
      <c r="H4" s="22"/>
    </row>
    <row r="5" spans="1:11" ht="14.1" customHeight="1">
      <c r="B5" s="11">
        <f>IF(AND(YEAR(JanSun1+7)=CalendarYear,MONTH(JanSun1+7)=1),JanSun1+7, "")</f>
        <v>43471</v>
      </c>
      <c r="C5" s="5">
        <f>IF(AND(YEAR(JanSun1+8)=CalendarYear,MONTH(JanSun1+8)=1),JanSun1+8, "")</f>
        <v>43472</v>
      </c>
      <c r="D5" s="5">
        <f>IF(AND(YEAR(JanSun1+9)=CalendarYear,MONTH(JanSun1+9)=1),JanSun1+9, "")</f>
        <v>43473</v>
      </c>
      <c r="E5" s="5">
        <f>IF(AND(YEAR(JanSun1+10)=CalendarYear,MONTH(JanSun1+10)=1),JanSun1+10, "")</f>
        <v>43474</v>
      </c>
      <c r="F5" s="5">
        <f>IF(AND(YEAR(JanSun1+11)=CalendarYear,MONTH(JanSun1+11)=1),JanSun1+11, "")</f>
        <v>43475</v>
      </c>
      <c r="G5" s="5">
        <f>IF(AND(YEAR(JanSun1+12)=CalendarYear,MONTH(JanSun1+12)=1),JanSun1+12,"")</f>
        <v>43476</v>
      </c>
      <c r="H5" s="10">
        <f>IF(AND(YEAR(JanSun1+13)=CalendarYear,MONTH(JanSun1+13)=1),JanSun1+13, "")</f>
        <v>43477</v>
      </c>
    </row>
    <row r="6" spans="1:11" ht="108">
      <c r="B6" s="21"/>
      <c r="C6" s="18" t="s">
        <v>12</v>
      </c>
      <c r="D6" s="18" t="s">
        <v>13</v>
      </c>
      <c r="E6" s="18" t="s">
        <v>14</v>
      </c>
      <c r="F6" s="18" t="s">
        <v>15</v>
      </c>
      <c r="G6" s="18" t="s">
        <v>16</v>
      </c>
      <c r="H6" s="22"/>
    </row>
    <row r="7" spans="1:11" ht="14.1" customHeight="1">
      <c r="B7" s="11">
        <f>IF(AND(YEAR(JanSun1+14)=CalendarYear,MONTH(JanSun1+14)=1),JanSun1+14, "")</f>
        <v>43478</v>
      </c>
      <c r="C7" s="5">
        <f>IF(AND(YEAR(JanSun1+15)=CalendarYear,MONTH(JanSun1+15)=1),JanSun1+15, "")</f>
        <v>43479</v>
      </c>
      <c r="D7" s="5">
        <f>IF(AND(YEAR(JanSun1+16)=CalendarYear,MONTH(JanSun1+16)=1),JanSun1+16, "")</f>
        <v>43480</v>
      </c>
      <c r="E7" s="5">
        <f>IF(AND(YEAR(JanSun1+17)=CalendarYear,MONTH(JanSun1+17)=1),JanSun1+17, "")</f>
        <v>43481</v>
      </c>
      <c r="F7" s="5">
        <f>IF(AND(YEAR(JanSun1+18)=CalendarYear,MONTH(JanSun1+18)=1),JanSun1+18, "")</f>
        <v>43482</v>
      </c>
      <c r="G7" s="5">
        <f>IF(AND(YEAR(JanSun1+19)=CalendarYear,MONTH(JanSun1+19)=1),JanSun1+19, "")</f>
        <v>43483</v>
      </c>
      <c r="H7" s="10">
        <f>IF(AND(YEAR(JanSun1+20)=CalendarYear,MONTH(JanSun1+20)=1),JanSun1+20, "")</f>
        <v>43484</v>
      </c>
    </row>
    <row r="8" spans="1:11" ht="90" customHeight="1">
      <c r="B8" s="21"/>
      <c r="C8" s="24" t="s">
        <v>18</v>
      </c>
      <c r="D8" s="19" t="s">
        <v>17</v>
      </c>
      <c r="E8" s="19" t="s">
        <v>20</v>
      </c>
      <c r="F8" s="25" t="s">
        <v>19</v>
      </c>
      <c r="G8" s="18" t="s">
        <v>21</v>
      </c>
      <c r="H8" s="22"/>
    </row>
    <row r="9" spans="1:11" ht="14.1" customHeight="1">
      <c r="B9" s="12">
        <f>IF(AND(YEAR(JanSun1+21)=CalendarYear,MONTH(JanSun1+21)=1),JanSun1+21, "")</f>
        <v>43485</v>
      </c>
      <c r="C9" s="6">
        <f>IF(AND(YEAR(JanSun1+22)=CalendarYear,MONTH(JanSun1+22)=1),JanSun1+22, "")</f>
        <v>43486</v>
      </c>
      <c r="D9" s="6">
        <f>IF(AND(YEAR(JanSun1+23)=CalendarYear,MONTH(JanSun1+23)=1),JanSun1+23, "")</f>
        <v>43487</v>
      </c>
      <c r="E9" s="6">
        <f>IF(AND(YEAR(JanSun1+24)=CalendarYear,MONTH(JanSun1+24)=1),JanSun1+24, "")</f>
        <v>43488</v>
      </c>
      <c r="F9" s="6">
        <f>IF(AND(YEAR(JanSun1+25)=CalendarYear,MONTH(JanSun1+25)=1),JanSun1+25, "")</f>
        <v>43489</v>
      </c>
      <c r="G9" s="6">
        <f>IF(AND(YEAR(JanSun1+26)=CalendarYear,MONTH(JanSun1+26)=1),JanSun1+26, "")</f>
        <v>43490</v>
      </c>
      <c r="H9" s="13">
        <f>IF(AND(YEAR(JanSun1+27)=CalendarYear,MONTH(JanSun1+27)=1),JanSun1+27, "")</f>
        <v>43491</v>
      </c>
    </row>
    <row r="10" spans="1:11" ht="108">
      <c r="B10" s="21"/>
      <c r="C10" s="25" t="s">
        <v>22</v>
      </c>
      <c r="D10" s="26" t="s">
        <v>24</v>
      </c>
      <c r="E10" s="26" t="s">
        <v>23</v>
      </c>
      <c r="F10" s="26" t="s">
        <v>25</v>
      </c>
      <c r="G10" s="26" t="s">
        <v>26</v>
      </c>
      <c r="H10" s="22"/>
    </row>
    <row r="11" spans="1:11" ht="14.1" customHeight="1">
      <c r="B11" s="12">
        <f>IF(AND(YEAR(JanSun1+28)=CalendarYear,MONTH(JanSun1+28)=1),JanSun1+28, "")</f>
        <v>43492</v>
      </c>
      <c r="C11" s="6">
        <f>IF(AND(YEAR(JanSun1+29)=CalendarYear,MONTH(JanSun1+29)=1),JanSun1+29, "")</f>
        <v>43493</v>
      </c>
      <c r="D11" s="6">
        <f>IF(AND(YEAR(JanSun1+30)=CalendarYear,MONTH(JanSun1+30)=1),JanSun1+30, "")</f>
        <v>43494</v>
      </c>
      <c r="E11" s="6">
        <f>IF(AND(YEAR(JanSun1+31)=CalendarYear,MONTH(JanSun1+31)=1),JanSun1+31, "")</f>
        <v>43495</v>
      </c>
      <c r="F11" s="6">
        <f>IF(AND(YEAR(JanSun1+32)=CalendarYear,MONTH(JanSun1+32)=1),JanSun1+32, "")</f>
        <v>43496</v>
      </c>
      <c r="G11" s="6" t="str">
        <f>IF(AND(YEAR(JanSun1+33)=CalendarYear,MONTH(JanSun1+33)=1),JanSun1+33, "")</f>
        <v/>
      </c>
      <c r="H11" s="13" t="str">
        <f>IF(AND(YEAR(JanSun1+34)=CalendarYear,MONTH(JanSun1+34)=1),JanSun1+34, "")</f>
        <v/>
      </c>
    </row>
    <row r="12" spans="1:11" ht="121.5">
      <c r="B12" s="21"/>
      <c r="C12" s="27" t="s">
        <v>27</v>
      </c>
      <c r="D12" s="28" t="s">
        <v>28</v>
      </c>
      <c r="E12" s="28" t="s">
        <v>29</v>
      </c>
      <c r="F12" s="28"/>
      <c r="G12" s="19"/>
      <c r="H12" s="22"/>
    </row>
    <row r="13" spans="1:11" ht="14.1" customHeight="1">
      <c r="B13" s="12" t="str">
        <f>IF(AND(YEAR(JanSun1+35)=CalendarYear,MONTH(JanSun1+35)=1),JanSun1+35, "")</f>
        <v/>
      </c>
      <c r="C13" s="6" t="str">
        <f>IF(AND(YEAR(JanSun1+36)=CalendarYear,MONTH(JanSun1+36)=1),JanSun1+36, "")</f>
        <v/>
      </c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4:H14"/>
    <mergeCell ref="D13:H13"/>
  </mergeCells>
  <phoneticPr fontId="1" type="noConversion"/>
  <dataValidations count="1">
    <dataValidation type="list" allowBlank="1" showInputMessage="1" showErrorMessage="1" sqref="K1" xr:uid="{00000000-0002-0000-0000-000000000000}">
      <formula1>Year</formula1>
    </dataValidation>
  </dataValidations>
  <printOptions horizontalCentered="1"/>
  <pageMargins left="0.5" right="0.5" top="0.75" bottom="0.75" header="0.5" footer="0.5"/>
  <pageSetup paperSize="9" orientation="portrait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4"/>
  <sheetViews>
    <sheetView showGridLines="0" topLeftCell="B10" workbookViewId="0">
      <selection activeCell="D8" sqref="D8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DATE(CalendarYear,10,1)</f>
        <v>43739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IF(AND(YEAR(OctSun1)=CalendarYear,MONTH(OctSun1)=10),OctSun1, "")</f>
        <v/>
      </c>
      <c r="C3" s="5" t="str">
        <f>IF(AND(YEAR(OctSun1+1)=CalendarYear,MONTH(OctSun1+1)=10),OctSun1+1, "")</f>
        <v/>
      </c>
      <c r="D3" s="5">
        <f>IF(AND(YEAR(OctSun1+2)=CalendarYear,MONTH(OctSun1+2)=10),OctSun1+2, "")</f>
        <v>43739</v>
      </c>
      <c r="E3" s="5">
        <f>IF(AND(YEAR(OctSun1+3)=CalendarYear,MONTH(OctSun1+3)=10),OctSun1+3, "")</f>
        <v>43740</v>
      </c>
      <c r="F3" s="5">
        <f>IF(AND(YEAR(OctSun1+4)=CalendarYear,MONTH(OctSun1+4)=10),OctSun1+4, "")</f>
        <v>43741</v>
      </c>
      <c r="G3" s="5">
        <f>IF(AND(YEAR(OctSun1+5)=CalendarYear,MONTH(OctSun1+5)=10),OctSun1+5, "")</f>
        <v>43742</v>
      </c>
      <c r="H3" s="10">
        <f>IF(AND(YEAR(OctSun1+6)=CalendarYear,MONTH(OctSun1+6)=10),OctSun1+6, "")</f>
        <v>43743</v>
      </c>
    </row>
    <row r="4" spans="1:11" ht="81">
      <c r="B4" s="21"/>
      <c r="C4" s="18"/>
      <c r="D4" s="26" t="s">
        <v>196</v>
      </c>
      <c r="E4" s="26" t="s">
        <v>198</v>
      </c>
      <c r="F4" s="26" t="s">
        <v>197</v>
      </c>
      <c r="G4" s="26" t="s">
        <v>199</v>
      </c>
      <c r="H4" s="22"/>
    </row>
    <row r="5" spans="1:11" ht="14.1" customHeight="1">
      <c r="B5" s="11">
        <f>IF(AND(YEAR(OctSun1+7)=CalendarYear,MONTH(OctSun1+7)=10),OctSun1+7, "")</f>
        <v>43744</v>
      </c>
      <c r="C5" s="5">
        <f>IF(AND(YEAR(OctSun1+8)=CalendarYear,MONTH(OctSun1+8)=10),OctSun1+8, "")</f>
        <v>43745</v>
      </c>
      <c r="D5" s="5">
        <f>IF(AND(YEAR(OctSun1+9)=CalendarYear,MONTH(OctSun1+9)=10),OctSun1+9, "")</f>
        <v>43746</v>
      </c>
      <c r="E5" s="5">
        <f>IF(AND(YEAR(OctSun1+10)=CalendarYear,MONTH(OctSun1+10)=10),OctSun1+10, "")</f>
        <v>43747</v>
      </c>
      <c r="F5" s="5">
        <f>IF(AND(YEAR(OctSun1+11)=CalendarYear,MONTH(OctSun1+11)=10),OctSun1+11, "")</f>
        <v>43748</v>
      </c>
      <c r="G5" s="5">
        <f>IF(AND(YEAR(OctSun1+12)=CalendarYear,MONTH(OctSun1+12)=10),OctSun1+12,"")</f>
        <v>43749</v>
      </c>
      <c r="H5" s="10">
        <f>IF(AND(YEAR(OctSun1+13)=CalendarYear,MONTH(OctSun1+13)=10),OctSun1+13, "")</f>
        <v>43750</v>
      </c>
    </row>
    <row r="6" spans="1:11" ht="108">
      <c r="B6" s="21"/>
      <c r="C6" s="26" t="s">
        <v>200</v>
      </c>
      <c r="D6" s="26" t="s">
        <v>204</v>
      </c>
      <c r="E6" s="26" t="s">
        <v>201</v>
      </c>
      <c r="F6" s="30" t="s">
        <v>202</v>
      </c>
      <c r="G6" s="26" t="s">
        <v>205</v>
      </c>
      <c r="H6" s="22"/>
    </row>
    <row r="7" spans="1:11" ht="14.1" customHeight="1">
      <c r="B7" s="11">
        <f>IF(AND(YEAR(OctSun1+14)=CalendarYear,MONTH(OctSun1+14)=10),OctSun1+14, "")</f>
        <v>43751</v>
      </c>
      <c r="C7" s="5">
        <f>IF(AND(YEAR(OctSun1+15)=CalendarYear,MONTH(OctSun1+15)=10),OctSun1+15, "")</f>
        <v>43752</v>
      </c>
      <c r="D7" s="5">
        <f>IF(AND(YEAR(OctSun1+16)=CalendarYear,MONTH(OctSun1+16)=10),OctSun1+16, "")</f>
        <v>43753</v>
      </c>
      <c r="E7" s="5">
        <f>IF(AND(YEAR(OctSun1+17)=CalendarYear,MONTH(OctSun1+17)=10),OctSun1+17, "")</f>
        <v>43754</v>
      </c>
      <c r="F7" s="5">
        <f>IF(AND(YEAR(OctSun1+18)=CalendarYear,MONTH(OctSun1+18)=10),OctSun1+18, "")</f>
        <v>43755</v>
      </c>
      <c r="G7" s="5">
        <f>IF(AND(YEAR(OctSun1+19)=CalendarYear,MONTH(OctSun1+19)=10),OctSun1+19, "")</f>
        <v>43756</v>
      </c>
      <c r="H7" s="10">
        <f>IF(AND(YEAR(OctSun1+20)=CalendarYear,MONTH(OctSun1+20)=10),OctSun1+20, "")</f>
        <v>43757</v>
      </c>
    </row>
    <row r="8" spans="1:11" ht="94.5">
      <c r="B8" s="21"/>
      <c r="C8" s="24" t="s">
        <v>203</v>
      </c>
      <c r="D8" s="26" t="s">
        <v>244</v>
      </c>
      <c r="E8" s="26" t="s">
        <v>206</v>
      </c>
      <c r="F8" s="26" t="s">
        <v>207</v>
      </c>
      <c r="G8" s="26" t="s">
        <v>209</v>
      </c>
      <c r="H8" s="22"/>
    </row>
    <row r="9" spans="1:11" ht="14.1" customHeight="1">
      <c r="B9" s="12">
        <f>IF(AND(YEAR(OctSun1+21)=CalendarYear,MONTH(OctSun1+21)=10),OctSun1+21, "")</f>
        <v>43758</v>
      </c>
      <c r="C9" s="6">
        <f>IF(AND(YEAR(OctSun1+22)=CalendarYear,MONTH(OctSun1+22)=10),OctSun1+22, "")</f>
        <v>43759</v>
      </c>
      <c r="D9" s="6">
        <f>IF(AND(YEAR(OctSun1+23)=CalendarYear,MONTH(OctSun1+23)=10),OctSun1+23, "")</f>
        <v>43760</v>
      </c>
      <c r="E9" s="6">
        <f>IF(AND(YEAR(OctSun1+24)=CalendarYear,MONTH(OctSun1+24)=10),OctSun1+24, "")</f>
        <v>43761</v>
      </c>
      <c r="F9" s="6">
        <f>IF(AND(YEAR(OctSun1+25)=CalendarYear,MONTH(OctSun1+25)=10),OctSun1+25, "")</f>
        <v>43762</v>
      </c>
      <c r="G9" s="6">
        <f>IF(AND(YEAR(OctSun1+26)=CalendarYear,MONTH(OctSun1+26)=10),OctSun1+26, "")</f>
        <v>43763</v>
      </c>
      <c r="H9" s="13">
        <f>IF(AND(YEAR(OctSun1+27)=CalendarYear,MONTH(OctSun1+27)=10),OctSun1+27, "")</f>
        <v>43764</v>
      </c>
    </row>
    <row r="10" spans="1:11" ht="138" customHeight="1">
      <c r="B10" s="21"/>
      <c r="C10" s="24" t="s">
        <v>208</v>
      </c>
      <c r="D10" s="26" t="s">
        <v>210</v>
      </c>
      <c r="E10" s="26" t="s">
        <v>215</v>
      </c>
      <c r="F10" s="26" t="s">
        <v>212</v>
      </c>
      <c r="G10" s="26" t="s">
        <v>211</v>
      </c>
      <c r="H10" s="22"/>
    </row>
    <row r="11" spans="1:11" ht="14.1" customHeight="1">
      <c r="B11" s="12">
        <f>IF(AND(YEAR(OctSun1+28)=CalendarYear,MONTH(OctSun1+28)=10),OctSun1+28, "")</f>
        <v>43765</v>
      </c>
      <c r="C11" s="6">
        <f>IF(AND(YEAR(OctSun1+29)=CalendarYear,MONTH(OctSun1+29)=10),OctSun1+29, "")</f>
        <v>43766</v>
      </c>
      <c r="D11" s="6">
        <f>IF(AND(YEAR(OctSun1+30)=CalendarYear,MONTH(OctSun1+30)=10),OctSun1+30, "")</f>
        <v>43767</v>
      </c>
      <c r="E11" s="6">
        <f>IF(AND(YEAR(OctSun1+31)=CalendarYear,MONTH(OctSun1+31)=10),OctSun1+31, "")</f>
        <v>43768</v>
      </c>
      <c r="F11" s="6">
        <v>31</v>
      </c>
      <c r="G11" s="6" t="str">
        <f>IF(AND(YEAR(OctSun1+33)=CalendarYear,MONTH(OctSun1+33)=10),OctSun1+33, "")</f>
        <v/>
      </c>
      <c r="H11" s="13" t="str">
        <f>IF(AND(YEAR(OctSun1+34)=CalendarYear,MONTH(OctSun1+34)=10),OctSun1+34, "")</f>
        <v/>
      </c>
    </row>
    <row r="12" spans="1:11" ht="90" customHeight="1">
      <c r="B12" s="21"/>
      <c r="C12" s="24" t="s">
        <v>194</v>
      </c>
      <c r="D12" s="26" t="s">
        <v>213</v>
      </c>
      <c r="E12" s="26" t="s">
        <v>214</v>
      </c>
      <c r="F12" s="26" t="s">
        <v>216</v>
      </c>
      <c r="G12" s="19"/>
      <c r="H12" s="22"/>
    </row>
    <row r="13" spans="1:11" ht="14.1" customHeight="1">
      <c r="B13" s="12" t="str">
        <f>IF(AND(YEAR(OctSun1+35)=CalendarYear,MONTH(OctSun1+35)=10),OctSun1+35, "")</f>
        <v/>
      </c>
      <c r="C13" s="6" t="str">
        <f>IF(AND(YEAR(OctSun1+36)=CalendarYear,MONTH(OctSun1+36)=10),OctSun1+36, "")</f>
        <v/>
      </c>
      <c r="D13" s="43"/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4"/>
  <sheetViews>
    <sheetView showGridLines="0" topLeftCell="D1" workbookViewId="0">
      <selection activeCell="D12" sqref="D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3" width="33.625" style="4" customWidth="1"/>
    <col min="4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DATE(CalendarYear,11,1)</f>
        <v>43770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IF(AND(YEAR(NovSun1)=CalendarYear,MONTH(NovSun1)=11),NovSun1, "")</f>
        <v/>
      </c>
      <c r="C3" s="5" t="str">
        <f>IF(AND(YEAR(NovSun1+1)=CalendarYear,MONTH(NovSun1+1)=11),NovSun1+1, "")</f>
        <v/>
      </c>
      <c r="D3" s="5" t="str">
        <f>IF(AND(YEAR(NovSun1+2)=CalendarYear,MONTH(NovSun1+2)=11),NovSun1+2, "")</f>
        <v/>
      </c>
      <c r="E3" s="5" t="str">
        <f>IF(AND(YEAR(NovSun1+3)=CalendarYear,MONTH(NovSun1+3)=11),NovSun1+3, "")</f>
        <v/>
      </c>
      <c r="F3" s="5" t="str">
        <f>IF(AND(YEAR(NovSun1+4)=CalendarYear,MONTH(NovSun1+4)=11),NovSun1+4, "")</f>
        <v/>
      </c>
      <c r="G3" s="5">
        <f>IF(AND(YEAR(NovSun1+5)=CalendarYear,MONTH(NovSun1+5)=11),NovSun1+5, "")</f>
        <v>43770</v>
      </c>
      <c r="H3" s="10">
        <f>IF(AND(YEAR(NovSun1+6)=CalendarYear,MONTH(NovSun1+6)=11),NovSun1+6, "")</f>
        <v>43771</v>
      </c>
    </row>
    <row r="4" spans="1:11" ht="90" customHeight="1">
      <c r="B4" s="21"/>
      <c r="C4" s="18"/>
      <c r="D4" s="19"/>
      <c r="E4" s="19"/>
      <c r="F4" s="19"/>
      <c r="G4" s="28" t="s">
        <v>217</v>
      </c>
      <c r="H4" s="22"/>
    </row>
    <row r="5" spans="1:11" ht="14.1" customHeight="1">
      <c r="B5" s="11">
        <f>IF(AND(YEAR(NovSun1+7)=CalendarYear,MONTH(NovSun1+7)=11),NovSun1+7, "")</f>
        <v>43772</v>
      </c>
      <c r="C5" s="5">
        <f>IF(AND(YEAR(NovSun1+8)=CalendarYear,MONTH(NovSun1+8)=11),NovSun1+8, "")</f>
        <v>43773</v>
      </c>
      <c r="D5" s="5">
        <f>IF(AND(YEAR(NovSun1+9)=CalendarYear,MONTH(NovSun1+9)=11),NovSun1+9, "")</f>
        <v>43774</v>
      </c>
      <c r="E5" s="5">
        <f>IF(AND(YEAR(NovSun1+10)=CalendarYear,MONTH(NovSun1+10)=11),NovSun1+10, "")</f>
        <v>43775</v>
      </c>
      <c r="F5" s="5">
        <f>IF(AND(YEAR(NovSun1+11)=CalendarYear,MONTH(NovSun1+11)=11),NovSun1+11, "")</f>
        <v>43776</v>
      </c>
      <c r="G5" s="5">
        <f>IF(AND(YEAR(NovSun1+12)=CalendarYear,MONTH(NovSun1+12)=11),NovSun1+12,"")</f>
        <v>43777</v>
      </c>
      <c r="H5" s="10">
        <f>IF(AND(YEAR(NovSun1+13)=CalendarYear,MONTH(NovSun1+13)=11),NovSun1+13, "")</f>
        <v>43778</v>
      </c>
    </row>
    <row r="6" spans="1:11" ht="113.25" customHeight="1">
      <c r="B6" s="21"/>
      <c r="C6" s="24" t="s">
        <v>218</v>
      </c>
      <c r="D6" s="26" t="s">
        <v>219</v>
      </c>
      <c r="E6" s="26" t="s">
        <v>220</v>
      </c>
      <c r="F6" s="28" t="s">
        <v>221</v>
      </c>
      <c r="G6" s="26" t="s">
        <v>222</v>
      </c>
      <c r="H6" s="22"/>
    </row>
    <row r="7" spans="1:11" ht="14.1" customHeight="1">
      <c r="B7" s="11">
        <f>IF(AND(YEAR(NovSun1+14)=CalendarYear,MONTH(NovSun1+14)=11),NovSun1+14, "")</f>
        <v>43779</v>
      </c>
      <c r="C7" s="5">
        <f>IF(AND(YEAR(NovSun1+15)=CalendarYear,MONTH(NovSun1+15)=11),NovSun1+15, "")</f>
        <v>43780</v>
      </c>
      <c r="D7" s="5">
        <f>IF(AND(YEAR(NovSun1+16)=CalendarYear,MONTH(NovSun1+16)=11),NovSun1+16, "")</f>
        <v>43781</v>
      </c>
      <c r="E7" s="5">
        <f>IF(AND(YEAR(NovSun1+17)=CalendarYear,MONTH(NovSun1+17)=11),NovSun1+17, "")</f>
        <v>43782</v>
      </c>
      <c r="F7" s="5">
        <f>IF(AND(YEAR(NovSun1+18)=CalendarYear,MONTH(NovSun1+18)=11),NovSun1+18, "")</f>
        <v>43783</v>
      </c>
      <c r="G7" s="5">
        <v>15</v>
      </c>
      <c r="H7" s="10">
        <f>IF(AND(YEAR(NovSun1+20)=CalendarYear,MONTH(NovSun1+20)=11),NovSun1+20, "")</f>
        <v>43785</v>
      </c>
    </row>
    <row r="8" spans="1:11" ht="90" customHeight="1">
      <c r="B8" s="21"/>
      <c r="C8" s="24" t="s">
        <v>223</v>
      </c>
      <c r="D8" s="19" t="s">
        <v>224</v>
      </c>
      <c r="E8" s="26" t="s">
        <v>227</v>
      </c>
      <c r="F8" s="30" t="s">
        <v>228</v>
      </c>
      <c r="G8" s="28" t="s">
        <v>225</v>
      </c>
      <c r="H8" s="22"/>
    </row>
    <row r="9" spans="1:11" ht="14.1" customHeight="1">
      <c r="B9" s="12">
        <f>IF(AND(YEAR(NovSun1+21)=CalendarYear,MONTH(NovSun1+21)=11),NovSun1+21, "")</f>
        <v>43786</v>
      </c>
      <c r="C9" s="6">
        <f>IF(AND(YEAR(NovSun1+22)=CalendarYear,MONTH(NovSun1+22)=11),NovSun1+22, "")</f>
        <v>43787</v>
      </c>
      <c r="D9" s="6">
        <f>IF(AND(YEAR(NovSun1+23)=CalendarYear,MONTH(NovSun1+23)=11),NovSun1+23, "")</f>
        <v>43788</v>
      </c>
      <c r="E9" s="6">
        <f>IF(AND(YEAR(NovSun1+24)=CalendarYear,MONTH(NovSun1+24)=11),NovSun1+24, "")</f>
        <v>43789</v>
      </c>
      <c r="F9" s="6">
        <f>IF(AND(YEAR(NovSun1+25)=CalendarYear,MONTH(NovSun1+25)=11),NovSun1+25, "")</f>
        <v>43790</v>
      </c>
      <c r="G9" s="6">
        <f>IF(AND(YEAR(NovSun1+26)=CalendarYear,MONTH(NovSun1+26)=11),NovSun1+26, "")</f>
        <v>43791</v>
      </c>
      <c r="H9" s="13">
        <f>IF(AND(YEAR(NovSun1+27)=CalendarYear,MONTH(NovSun1+27)=11),NovSun1+27, "")</f>
        <v>43792</v>
      </c>
    </row>
    <row r="10" spans="1:11" ht="90" customHeight="1">
      <c r="B10" s="21"/>
      <c r="C10" s="25" t="s">
        <v>226</v>
      </c>
      <c r="D10" s="30" t="s">
        <v>229</v>
      </c>
      <c r="E10" s="26" t="s">
        <v>230</v>
      </c>
      <c r="F10" s="26" t="s">
        <v>231</v>
      </c>
      <c r="G10" s="37" t="s">
        <v>232</v>
      </c>
      <c r="H10" s="22"/>
    </row>
    <row r="11" spans="1:11" ht="14.1" customHeight="1">
      <c r="B11" s="12">
        <f>IF(AND(YEAR(NovSun1+28)=CalendarYear,MONTH(NovSun1+28)=11),NovSun1+28, "")</f>
        <v>43793</v>
      </c>
      <c r="C11" s="6">
        <f>IF(AND(YEAR(NovSun1+29)=CalendarYear,MONTH(NovSun1+29)=11),NovSun1+29, "")</f>
        <v>43794</v>
      </c>
      <c r="D11" s="6">
        <f>IF(AND(YEAR(NovSun1+30)=CalendarYear,MONTH(NovSun1+30)=11),NovSun1+30, "")</f>
        <v>43795</v>
      </c>
      <c r="E11" s="6">
        <f>IF(AND(YEAR(NovSun1+31)=CalendarYear,MONTH(NovSun1+31)=11),NovSun1+31, "")</f>
        <v>43796</v>
      </c>
      <c r="F11" s="6">
        <f>IF(AND(YEAR(NovSun1+32)=CalendarYear,MONTH(NovSun1+32)=11),NovSun1+32, "")</f>
        <v>43797</v>
      </c>
      <c r="G11" s="6">
        <f>IF(AND(YEAR(NovSun1+33)=CalendarYear,MONTH(NovSun1+33)=11),NovSun1+33, "")</f>
        <v>43798</v>
      </c>
      <c r="H11" s="13">
        <f>IF(AND(YEAR(NovSun1+34)=CalendarYear,MONTH(NovSun1+34)=11),NovSun1+34, "")</f>
        <v>43799</v>
      </c>
    </row>
    <row r="12" spans="1:11" ht="90" customHeight="1">
      <c r="B12" s="21"/>
      <c r="C12" s="25" t="s">
        <v>234</v>
      </c>
      <c r="D12" s="19" t="s">
        <v>237</v>
      </c>
      <c r="E12" s="19" t="s">
        <v>235</v>
      </c>
      <c r="F12" s="19" t="s">
        <v>236</v>
      </c>
      <c r="G12" s="26" t="s">
        <v>233</v>
      </c>
      <c r="H12" s="22"/>
    </row>
    <row r="13" spans="1:11" ht="14.1" customHeight="1">
      <c r="B13" s="12" t="str">
        <f>IF(AND(YEAR(NovSun1+35)=CalendarYear,MONTH(NovSun1+35)=11),NovSun1+35, "")</f>
        <v/>
      </c>
      <c r="C13" s="6" t="s">
        <v>8</v>
      </c>
      <c r="D13" s="43"/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4"/>
  <sheetViews>
    <sheetView showGridLines="0" tabSelected="1" topLeftCell="A7" workbookViewId="0">
      <selection activeCell="F8" sqref="F8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DATE(CalendarYear,12,1)</f>
        <v>43800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>
        <f>IF(AND(YEAR(DecSun1)=CalendarYear,MONTH(DecSun1)=12),DecSun1, "")</f>
        <v>43800</v>
      </c>
      <c r="C3" s="5">
        <f>IF(AND(YEAR(DecSun1+1)=CalendarYear,MONTH(DecSun1+1)=12),DecSun1+1, "")</f>
        <v>43801</v>
      </c>
      <c r="D3" s="5">
        <f>IF(AND(YEAR(DecSun1+2)=CalendarYear,MONTH(DecSun1+2)=12),DecSun1+2, "")</f>
        <v>43802</v>
      </c>
      <c r="E3" s="5">
        <f>IF(AND(YEAR(DecSun1+3)=CalendarYear,MONTH(DecSun1+3)=12),DecSun1+3, "")</f>
        <v>43803</v>
      </c>
      <c r="F3" s="5">
        <f>IF(AND(YEAR(DecSun1+4)=CalendarYear,MONTH(DecSun1+4)=12),DecSun1+4, "")</f>
        <v>43804</v>
      </c>
      <c r="G3" s="5">
        <f>IF(AND(YEAR(DecSun1+5)=CalendarYear,MONTH(DecSun1+5)=12),DecSun1+5, "")</f>
        <v>43805</v>
      </c>
      <c r="H3" s="10">
        <f>IF(AND(YEAR(DecSun1+6)=CalendarYear,MONTH(DecSun1+6)=12),DecSun1+6, "")</f>
        <v>43806</v>
      </c>
    </row>
    <row r="4" spans="1:11" ht="90" customHeight="1">
      <c r="B4" s="21"/>
      <c r="C4" s="27" t="s">
        <v>238</v>
      </c>
      <c r="D4" s="30" t="s">
        <v>240</v>
      </c>
      <c r="E4" s="26" t="s">
        <v>239</v>
      </c>
      <c r="F4" s="26" t="s">
        <v>241</v>
      </c>
      <c r="H4" s="22"/>
    </row>
    <row r="5" spans="1:11" ht="14.1" customHeight="1">
      <c r="B5" s="11">
        <f>IF(AND(YEAR(DecSun1+7)=CalendarYear,MONTH(DecSun1+7)=12),DecSun1+7, "")</f>
        <v>43807</v>
      </c>
      <c r="C5" s="5">
        <f>IF(AND(YEAR(DecSun1+8)=CalendarYear,MONTH(DecSun1+8)=12),DecSun1+8, "")</f>
        <v>43808</v>
      </c>
      <c r="D5" s="5">
        <f>IF(AND(YEAR(DecSun1+9)=CalendarYear,MONTH(DecSun1+9)=12),DecSun1+9, "")</f>
        <v>43809</v>
      </c>
      <c r="E5" s="5">
        <v>11</v>
      </c>
      <c r="F5" s="5">
        <f>IF(AND(YEAR(DecSun1+11)=CalendarYear,MONTH(DecSun1+11)=12),DecSun1+11, "")</f>
        <v>43811</v>
      </c>
      <c r="G5" s="5">
        <f>IF(AND(YEAR(DecSun1+12)=CalendarYear,MONTH(DecSun1+12)=12),DecSun1+12,"")</f>
        <v>43812</v>
      </c>
      <c r="H5" s="10">
        <f>IF(AND(YEAR(DecSun1+13)=CalendarYear,MONTH(DecSun1+13)=12),DecSun1+13, "")</f>
        <v>43813</v>
      </c>
    </row>
    <row r="6" spans="1:11" ht="96.75" customHeight="1">
      <c r="B6" s="21"/>
      <c r="C6" s="24" t="s">
        <v>242</v>
      </c>
      <c r="D6" s="38" t="s">
        <v>243</v>
      </c>
      <c r="E6" s="19" t="s">
        <v>245</v>
      </c>
      <c r="F6" s="19" t="s">
        <v>247</v>
      </c>
      <c r="G6" s="30" t="s">
        <v>246</v>
      </c>
      <c r="H6" s="22"/>
    </row>
    <row r="7" spans="1:11" ht="16.5">
      <c r="B7" s="11">
        <f>IF(AND(YEAR(DecSun1+14)=CalendarYear,MONTH(DecSun1+14)=12),DecSun1+14, "")</f>
        <v>43814</v>
      </c>
      <c r="C7" s="5">
        <f>IF(AND(YEAR(DecSun1+15)=CalendarYear,MONTH(DecSun1+15)=12),DecSun1+15, "")</f>
        <v>43815</v>
      </c>
      <c r="D7" s="5">
        <f>IF(AND(YEAR(DecSun1+16)=CalendarYear,MONTH(DecSun1+16)=12),DecSun1+16, "")</f>
        <v>43816</v>
      </c>
      <c r="E7" s="5">
        <f>IF(AND(YEAR(DecSun1+17)=CalendarYear,MONTH(DecSun1+17)=12),DecSun1+17, "")</f>
        <v>43817</v>
      </c>
      <c r="F7" s="5">
        <f>IF(AND(YEAR(DecSun1+18)=CalendarYear,MONTH(DecSun1+18)=12),DecSun1+18, "")</f>
        <v>43818</v>
      </c>
      <c r="G7" s="5"/>
      <c r="H7" s="10">
        <f>IF(AND(YEAR(DecSun1+20)=CalendarYear,MONTH(DecSun1+20)=12),DecSun1+20, "")</f>
        <v>43820</v>
      </c>
    </row>
    <row r="8" spans="1:11" ht="121.5">
      <c r="B8" s="21"/>
      <c r="C8" s="24" t="s">
        <v>248</v>
      </c>
      <c r="D8" s="26" t="s">
        <v>249</v>
      </c>
      <c r="E8" s="26" t="s">
        <v>251</v>
      </c>
      <c r="F8" s="26" t="s">
        <v>252</v>
      </c>
      <c r="G8" s="19" t="s">
        <v>250</v>
      </c>
      <c r="H8" s="22"/>
    </row>
    <row r="9" spans="1:11" ht="14.1" customHeight="1">
      <c r="B9" s="12">
        <f>IF(AND(YEAR(DecSun1+21)=CalendarYear,MONTH(DecSun1+21)=12),DecSun1+21, "")</f>
        <v>43821</v>
      </c>
      <c r="C9" s="6">
        <f>IF(AND(YEAR(DecSun1+22)=CalendarYear,MONTH(DecSun1+22)=12),DecSun1+22, "")</f>
        <v>43822</v>
      </c>
      <c r="D9" s="6">
        <f>IF(AND(YEAR(DecSun1+23)=CalendarYear,MONTH(DecSun1+23)=12),DecSun1+23, "")</f>
        <v>43823</v>
      </c>
      <c r="E9" s="6">
        <f>IF(AND(YEAR(DecSun1+24)=CalendarYear,MONTH(DecSun1+24)=12),DecSun1+24, "")</f>
        <v>43824</v>
      </c>
      <c r="F9" s="6">
        <f>IF(AND(YEAR(DecSun1+25)=CalendarYear,MONTH(DecSun1+25)=12),DecSun1+25, "")</f>
        <v>43825</v>
      </c>
      <c r="G9" s="6">
        <f>IF(AND(YEAR(DecSun1+26)=CalendarYear,MONTH(DecSun1+26)=12),DecSun1+26, "")</f>
        <v>43826</v>
      </c>
      <c r="H9" s="13">
        <f>IF(AND(YEAR(DecSun1+27)=CalendarYear,MONTH(DecSun1+27)=12),DecSun1+27, "")</f>
        <v>43827</v>
      </c>
    </row>
    <row r="10" spans="1:11" ht="90" customHeight="1">
      <c r="B10" s="21"/>
      <c r="C10" s="18"/>
      <c r="D10" s="19"/>
      <c r="E10" s="19"/>
      <c r="F10" s="19"/>
      <c r="G10" s="19"/>
      <c r="H10" s="22"/>
    </row>
    <row r="11" spans="1:11" ht="14.1" customHeight="1">
      <c r="B11" s="12">
        <f>IF(AND(YEAR(DecSun1+28)=CalendarYear,MONTH(DecSun1+28)=12),DecSun1+28, "")</f>
        <v>43828</v>
      </c>
      <c r="C11" s="6">
        <f>IF(AND(YEAR(DecSun1+29)=CalendarYear,MONTH(DecSun1+29)=12),DecSun1+29, "")</f>
        <v>43829</v>
      </c>
      <c r="D11" s="6">
        <f>IF(AND(YEAR(DecSun1+30)=CalendarYear,MONTH(DecSun1+30)=12),DecSun1+30, "")</f>
        <v>43830</v>
      </c>
      <c r="E11" s="6" t="str">
        <f>IF(AND(YEAR(DecSun1+31)=CalendarYear,MONTH(DecSun1+31)=12),DecSun1+31, "")</f>
        <v/>
      </c>
      <c r="F11" s="6" t="str">
        <f>IF(AND(YEAR(DecSun1+32)=CalendarYear,MONTH(DecSun1+32)=12),DecSun1+32, "")</f>
        <v/>
      </c>
      <c r="G11" s="6" t="str">
        <f>IF(AND(YEAR(DecSun1+33)=CalendarYear,MONTH(DecSun1+33)=12),DecSun1+33, "")</f>
        <v/>
      </c>
      <c r="H11" s="13" t="str">
        <f>IF(AND(YEAR(DecSun1+34)=CalendarYear,MONTH(DecSun1+34)=12),DecSun1+34, "")</f>
        <v/>
      </c>
    </row>
    <row r="12" spans="1:11" ht="90" customHeight="1">
      <c r="B12" s="21"/>
      <c r="C12" s="18"/>
      <c r="D12" s="19"/>
      <c r="E12" s="19"/>
      <c r="F12" s="19"/>
      <c r="G12" s="19"/>
      <c r="H12" s="22"/>
    </row>
    <row r="13" spans="1:11" ht="14.1" customHeight="1">
      <c r="B13" s="12" t="str">
        <f>IF(AND(YEAR(DecSun1+35)=CalendarYear,MONTH(DecSun1+35)=12),DecSun1+35, "")</f>
        <v/>
      </c>
      <c r="C13" s="6" t="str">
        <f>IF(AND(YEAR(DecSun1+36)=CalendarYear,MONTH(DecSun1+36)=12),DecSun1+36, "")</f>
        <v/>
      </c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workbookViewId="0">
      <selection activeCell="J14" sqref="J14"/>
    </sheetView>
  </sheetViews>
  <sheetFormatPr baseColWidth="10" defaultColWidth="8.75" defaultRowHeight="14.25"/>
  <cols>
    <col min="1" max="1" width="10.375" style="4" customWidth="1"/>
    <col min="2" max="2" width="9.625" style="4" customWidth="1"/>
    <col min="3" max="3" width="9.75" style="4" customWidth="1"/>
    <col min="4" max="10" width="8.75" style="4"/>
    <col min="11" max="11" width="39.5" style="4" customWidth="1"/>
    <col min="12" max="16384" width="8.75" style="4"/>
  </cols>
  <sheetData>
    <row r="1" spans="1:6" ht="16.5">
      <c r="A1" s="4" t="s">
        <v>7</v>
      </c>
      <c r="B1" s="17"/>
    </row>
    <row r="2" spans="1:6" ht="16.5">
      <c r="A2" s="17">
        <v>2010</v>
      </c>
      <c r="B2" s="17"/>
    </row>
    <row r="3" spans="1:6" ht="16.5">
      <c r="A3" s="17">
        <v>2011</v>
      </c>
      <c r="B3" s="17"/>
    </row>
    <row r="4" spans="1:6" ht="16.5">
      <c r="A4" s="17">
        <v>2012</v>
      </c>
      <c r="B4" s="17"/>
    </row>
    <row r="5" spans="1:6" ht="16.5">
      <c r="A5" s="17">
        <v>2013</v>
      </c>
      <c r="B5" s="17"/>
    </row>
    <row r="6" spans="1:6" ht="16.5">
      <c r="A6" s="17">
        <v>2014</v>
      </c>
      <c r="B6" s="17"/>
    </row>
    <row r="7" spans="1:6" ht="16.5">
      <c r="A7" s="17">
        <v>2015</v>
      </c>
      <c r="B7" s="17"/>
    </row>
    <row r="8" spans="1:6" ht="16.5">
      <c r="A8" s="17">
        <v>2016</v>
      </c>
      <c r="B8" s="17"/>
    </row>
    <row r="9" spans="1:6" ht="16.5">
      <c r="A9" s="17">
        <v>2017</v>
      </c>
      <c r="B9" s="17"/>
    </row>
    <row r="10" spans="1:6" ht="16.5">
      <c r="A10" s="17">
        <v>2018</v>
      </c>
      <c r="B10" s="17"/>
    </row>
    <row r="11" spans="1:6" ht="16.5">
      <c r="A11" s="17">
        <v>2019</v>
      </c>
      <c r="B11" s="17"/>
    </row>
    <row r="12" spans="1:6" ht="16.5">
      <c r="A12" s="17">
        <v>2020</v>
      </c>
      <c r="B12" s="17"/>
    </row>
    <row r="13" spans="1:6" ht="16.5">
      <c r="A13" s="17"/>
    </row>
    <row r="14" spans="1:6" ht="16.5">
      <c r="A14" s="17"/>
    </row>
    <row r="15" spans="1:6" ht="16.5">
      <c r="A15" s="17"/>
    </row>
    <row r="16" spans="1:6" ht="16.5">
      <c r="A16" s="17"/>
    </row>
    <row r="17" spans="1:1" ht="16.5">
      <c r="A17" s="17"/>
    </row>
    <row r="18" spans="1:1" ht="16.5">
      <c r="A18" s="17"/>
    </row>
  </sheetData>
  <phoneticPr fontId="1" type="noConversion"/>
  <pageMargins left="0.7" right="0.7" top="0.75" bottom="0.75" header="0.3" footer="0.3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showGridLines="0" topLeftCell="A2" workbookViewId="0">
      <selection activeCell="D8" sqref="D8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4" width="30.5" style="4" customWidth="1"/>
    <col min="5" max="5" width="33" style="4" customWidth="1"/>
    <col min="6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DATE(CalendarYear,2,1)</f>
        <v>43497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IF(AND(YEAR(FebSun1)=CalendarYear,MONTH(FebSun1)=2),FebSun1, "")</f>
        <v/>
      </c>
      <c r="C3" s="5" t="str">
        <f>IF(AND(YEAR(FebSun1+1)=CalendarYear,MONTH(FebSun1+1)=2),FebSun1+1, "")</f>
        <v/>
      </c>
      <c r="D3" s="5" t="str">
        <f>IF(AND(YEAR(FebSun1+2)=CalendarYear,MONTH(FebSun1+2)=2),FebSun1+2, "")</f>
        <v/>
      </c>
      <c r="E3" s="5" t="str">
        <f>IF(AND(YEAR(FebSun1+3)=CalendarYear,MONTH(FebSun1+3)=2),FebSun1+3, "")</f>
        <v/>
      </c>
      <c r="F3" s="5" t="str">
        <f>IF(AND(YEAR(FebSun1+4)=CalendarYear,MONTH(FebSun1+4)=2),FebSun1+4, "")</f>
        <v/>
      </c>
      <c r="G3" s="5">
        <f>IF(AND(YEAR(FebSun1+5)=CalendarYear,MONTH(FebSun1+5)=2),FebSun1+5, "")</f>
        <v>43497</v>
      </c>
      <c r="H3" s="10">
        <f>IF(AND(YEAR(FebSun1+6)=CalendarYear,MONTH(FebSun1+6)=2),FebSun1+6, "")</f>
        <v>43498</v>
      </c>
    </row>
    <row r="4" spans="1:11" ht="90" customHeight="1">
      <c r="B4" s="21"/>
      <c r="C4" s="18"/>
      <c r="D4" s="19"/>
      <c r="E4" s="19"/>
      <c r="F4" s="19"/>
      <c r="G4" s="26" t="s">
        <v>31</v>
      </c>
      <c r="H4" s="22"/>
    </row>
    <row r="5" spans="1:11" ht="14.1" customHeight="1">
      <c r="B5" s="11">
        <f>IF(AND(YEAR(FebSun1+7)=CalendarYear,MONTH(FebSun1+7)=2),FebSun1+7, "")</f>
        <v>43499</v>
      </c>
      <c r="C5" s="5">
        <f>IF(AND(YEAR(FebSun1+8)=CalendarYear,MONTH(FebSun1+8)=2),FebSun1+8, "")</f>
        <v>43500</v>
      </c>
      <c r="D5" s="5">
        <f>IF(AND(YEAR(FebSun1+9)=CalendarYear,MONTH(FebSun1+9)=2),FebSun1+9, "")</f>
        <v>43501</v>
      </c>
      <c r="E5" s="5">
        <f>IF(AND(YEAR(FebSun1+10)=CalendarYear,MONTH(FebSun1+10)=2),FebSun1+10, "")</f>
        <v>43502</v>
      </c>
      <c r="F5" s="5">
        <f>IF(AND(YEAR(FebSun1+11)=CalendarYear,MONTH(FebSun1+11)=2),FebSun1+11, "")</f>
        <v>43503</v>
      </c>
      <c r="G5" s="5">
        <f>IF(AND(YEAR(FebSun1+12)=CalendarYear,MONTH(FebSun1+12)=2),FebSun1+12,"")</f>
        <v>43504</v>
      </c>
      <c r="H5" s="10">
        <f>IF(AND(YEAR(FebSun1+13)=CalendarYear,MONTH(FebSun1+13)=2),FebSun1+13, "")</f>
        <v>43505</v>
      </c>
    </row>
    <row r="6" spans="1:11" ht="175.5">
      <c r="B6" s="21"/>
      <c r="C6" s="27" t="s">
        <v>30</v>
      </c>
      <c r="D6" s="19" t="s">
        <v>33</v>
      </c>
      <c r="E6" s="26" t="s">
        <v>34</v>
      </c>
      <c r="F6" s="19" t="s">
        <v>32</v>
      </c>
      <c r="G6" s="26" t="s">
        <v>35</v>
      </c>
      <c r="H6" s="22"/>
    </row>
    <row r="7" spans="1:11" ht="14.1" customHeight="1">
      <c r="B7" s="11">
        <f>IF(AND(YEAR(FebSun1+14)=CalendarYear,MONTH(FebSun1+14)=2),FebSun1+14, "")</f>
        <v>43506</v>
      </c>
      <c r="C7" s="5">
        <f>IF(AND(YEAR(FebSun1+15)=CalendarYear,MONTH(FebSun1+15)=2),FebSun1+15, "")</f>
        <v>43507</v>
      </c>
      <c r="D7" s="5">
        <f>IF(AND(YEAR(FebSun1+16)=CalendarYear,MONTH(FebSun1+16)=2),FebSun1+16, "")</f>
        <v>43508</v>
      </c>
      <c r="E7" s="5">
        <f>IF(AND(YEAR(FebSun1+17)=CalendarYear,MONTH(FebSun1+17)=2),FebSun1+17, "")</f>
        <v>43509</v>
      </c>
      <c r="F7" s="5">
        <f>IF(AND(YEAR(FebSun1+18)=CalendarYear,MONTH(FebSun1+18)=2),FebSun1+18, "")</f>
        <v>43510</v>
      </c>
      <c r="G7" s="5">
        <f>IF(AND(YEAR(FebSun1+19)=CalendarYear,MONTH(FebSun1+19)=2),FebSun1+19, "")</f>
        <v>43511</v>
      </c>
      <c r="H7" s="10">
        <f>IF(AND(YEAR(FebSun1+20)=CalendarYear,MONTH(FebSun1+20)=2),FebSun1+20, "")</f>
        <v>43512</v>
      </c>
    </row>
    <row r="8" spans="1:11" ht="202.5">
      <c r="B8" s="12">
        <f>IF(AND(YEAR(FebSun1+21)=CalendarYear,MONTH(FebSun1+21)=2),FebSun1+21, "")</f>
        <v>43513</v>
      </c>
      <c r="C8" s="24" t="s">
        <v>36</v>
      </c>
      <c r="D8" s="29" t="s">
        <v>37</v>
      </c>
      <c r="E8" s="28" t="s">
        <v>38</v>
      </c>
      <c r="F8" s="19" t="s">
        <v>39</v>
      </c>
      <c r="G8" s="28" t="s">
        <v>40</v>
      </c>
      <c r="H8" s="22"/>
    </row>
    <row r="9" spans="1:11" ht="14.1" customHeight="1">
      <c r="B9" s="21"/>
      <c r="C9" s="6">
        <f>IF(AND(YEAR(FebSun1+22)=CalendarYear,MONTH(FebSun1+22)=2),FebSun1+22, "")</f>
        <v>43514</v>
      </c>
      <c r="D9" s="6">
        <f>IF(AND(YEAR(FebSun1+23)=CalendarYear,MONTH(FebSun1+23)=2),FebSun1+23, "")</f>
        <v>43515</v>
      </c>
      <c r="E9" s="6">
        <f>IF(AND(YEAR(FebSun1+24)=CalendarYear,MONTH(FebSun1+24)=2),FebSun1+24, "")</f>
        <v>43516</v>
      </c>
      <c r="F9" s="6">
        <f>IF(AND(YEAR(FebSun1+25)=CalendarYear,MONTH(FebSun1+25)=2),FebSun1+25, "")</f>
        <v>43517</v>
      </c>
      <c r="G9" s="6">
        <f>IF(AND(YEAR(FebSun1+26)=CalendarYear,MONTH(FebSun1+26)=2),FebSun1+26, "")</f>
        <v>43518</v>
      </c>
      <c r="H9" s="13">
        <f>IF(AND(YEAR(FebSun1+27)=CalendarYear,MONTH(FebSun1+27)=2),FebSun1+27, "")</f>
        <v>43519</v>
      </c>
    </row>
    <row r="10" spans="1:11" ht="90" customHeight="1">
      <c r="C10" s="24"/>
      <c r="D10" s="26" t="s">
        <v>41</v>
      </c>
      <c r="E10" s="26" t="s">
        <v>49</v>
      </c>
      <c r="F10" s="26" t="s">
        <v>47</v>
      </c>
      <c r="G10" s="26" t="s">
        <v>42</v>
      </c>
      <c r="H10" s="22"/>
    </row>
    <row r="11" spans="1:11" ht="14.1" customHeight="1">
      <c r="B11" s="12">
        <f>IF(AND(YEAR(FebSun1+28)=CalendarYear,MONTH(FebSun1+28)=2),FebSun1+28, "")</f>
        <v>43520</v>
      </c>
      <c r="C11" s="6">
        <f>IF(AND(YEAR(FebSun1+29)=CalendarYear,MONTH(FebSun1+29)=2),FebSun1+29, "")</f>
        <v>43521</v>
      </c>
      <c r="D11" s="6">
        <f>IF(AND(YEAR(FebSun1+30)=CalendarYear,MONTH(FebSun1+30)=2),FebSun1+30, "")</f>
        <v>43522</v>
      </c>
      <c r="E11" s="6">
        <f>IF(AND(YEAR(FebSun1+31)=CalendarYear,MONTH(FebSun1+31)=2),FebSun1+31, "")</f>
        <v>43523</v>
      </c>
      <c r="F11" s="6">
        <f>IF(AND(YEAR(FebSun1+32)=CalendarYear,MONTH(FebSun1+32)=2),FebSun1+32, "")</f>
        <v>43524</v>
      </c>
      <c r="G11" s="6" t="str">
        <f>IF(AND(YEAR(FebSun1+33)=CalendarYear,MONTH(FebSun1+33)=2),FebSun1+33, "")</f>
        <v/>
      </c>
      <c r="H11" s="13" t="str">
        <f>IF(AND(YEAR(FebSun1+34)=CalendarYear,MONTH(FebSun1+34)=2),FebSun1+34, "")</f>
        <v/>
      </c>
    </row>
    <row r="12" spans="1:11" ht="129" customHeight="1">
      <c r="B12" s="21"/>
      <c r="C12" s="24" t="s">
        <v>44</v>
      </c>
      <c r="D12" s="28" t="s">
        <v>43</v>
      </c>
      <c r="E12" s="19" t="s">
        <v>48</v>
      </c>
      <c r="F12" s="19" t="s">
        <v>46</v>
      </c>
      <c r="G12" s="19"/>
      <c r="H12" s="22"/>
    </row>
    <row r="13" spans="1:11" ht="14.1" customHeight="1">
      <c r="B13" s="12" t="s">
        <v>8</v>
      </c>
      <c r="C13" s="6"/>
      <c r="D13" s="43"/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showGridLines="0" topLeftCell="C9" workbookViewId="0">
      <selection activeCell="F8" sqref="F8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DATE(CalendarYear,3,1)</f>
        <v>43525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IF(AND(YEAR(MarSun1)=CalendarYear,MONTH(MarSun1)=3),MarSun1, "")</f>
        <v/>
      </c>
      <c r="C3" s="5" t="str">
        <f>IF(AND(YEAR(MarSun1+1)=CalendarYear,MONTH(MarSun1+1)=3),MarSun1+1, "")</f>
        <v/>
      </c>
      <c r="D3" s="5" t="str">
        <f>IF(AND(YEAR(MarSun1+2)=CalendarYear,MONTH(MarSun1+2)=3),MarSun1+2, "")</f>
        <v/>
      </c>
      <c r="E3" s="5" t="str">
        <f>IF(AND(YEAR(MarSun1+3)=CalendarYear,MONTH(MarSun1+3)=3),MarSun1+3, "")</f>
        <v/>
      </c>
      <c r="F3" s="5" t="str">
        <f>IF(AND(YEAR(MarSun1+4)=CalendarYear,MONTH(MarSun1+4)=3),MarSun1+4, "")</f>
        <v/>
      </c>
      <c r="G3" s="5">
        <f>IF(AND(YEAR(MarSun1+5)=CalendarYear,MONTH(MarSun1+5)=3),MarSun1+5, "")</f>
        <v>43525</v>
      </c>
      <c r="H3" s="10">
        <f>IF(AND(YEAR(MarSun1+6)=CalendarYear,MONTH(MarSun1+6)=3),MarSun1+6, "")</f>
        <v>43526</v>
      </c>
    </row>
    <row r="4" spans="1:11" ht="81">
      <c r="B4" s="21"/>
      <c r="C4" s="18"/>
      <c r="D4" s="19"/>
      <c r="E4" s="19"/>
      <c r="F4" s="19"/>
      <c r="G4" s="19" t="s">
        <v>52</v>
      </c>
      <c r="H4" s="22"/>
    </row>
    <row r="5" spans="1:11" ht="14.25" customHeight="1">
      <c r="B5" s="11">
        <f>IF(AND(YEAR(MarSun1+7)=CalendarYear,MONTH(MarSun1+7)=3),MarSun1+7, "")</f>
        <v>43527</v>
      </c>
      <c r="C5" s="5">
        <f>IF(AND(YEAR(MarSun1+8)=CalendarYear,MONTH(MarSun1+8)=3),MarSun1+8, "")</f>
        <v>43528</v>
      </c>
      <c r="D5" s="5">
        <f>IF(AND(YEAR(MarSun1+9)=CalendarYear,MONTH(MarSun1+9)=3),MarSun1+9, "")</f>
        <v>43529</v>
      </c>
      <c r="E5" s="5">
        <f>IF(AND(YEAR(MarSun1+10)=CalendarYear,MONTH(MarSun1+10)=3),MarSun1+10, "")</f>
        <v>43530</v>
      </c>
      <c r="F5" s="5">
        <f>IF(AND(YEAR(MarSun1+11)=CalendarYear,MONTH(MarSun1+11)=3),MarSun1+11, "")</f>
        <v>43531</v>
      </c>
      <c r="G5" s="5">
        <f>IF(AND(YEAR(MarSun1+12)=CalendarYear,MONTH(MarSun1+12)=3),MarSun1+12,"")</f>
        <v>43532</v>
      </c>
      <c r="H5" s="10">
        <f>IF(AND(YEAR(MarSun1+13)=CalendarYear,MONTH(MarSun1+13)=3),MarSun1+13, "")</f>
        <v>43533</v>
      </c>
    </row>
    <row r="6" spans="1:11" ht="150.75" customHeight="1">
      <c r="B6" s="21"/>
      <c r="C6" s="27" t="s">
        <v>50</v>
      </c>
      <c r="D6" s="26" t="s">
        <v>45</v>
      </c>
      <c r="E6" s="30" t="s">
        <v>51</v>
      </c>
      <c r="F6" s="28" t="s">
        <v>54</v>
      </c>
      <c r="G6" s="19" t="s">
        <v>53</v>
      </c>
      <c r="H6" s="22"/>
    </row>
    <row r="7" spans="1:11" ht="14.1" customHeight="1">
      <c r="B7" s="11">
        <f>IF(AND(YEAR(MarSun1+14)=CalendarYear,MONTH(MarSun1+14)=3),MarSun1+14, "")</f>
        <v>43534</v>
      </c>
      <c r="C7" s="5">
        <f>IF(AND(YEAR(MarSun1+15)=CalendarYear,MONTH(MarSun1+15)=3),MarSun1+15, "")</f>
        <v>43535</v>
      </c>
      <c r="D7" s="5">
        <f>IF(AND(YEAR(MarSun1+16)=CalendarYear,MONTH(MarSun1+16)=3),MarSun1+16, "")</f>
        <v>43536</v>
      </c>
      <c r="E7" s="5">
        <f>IF(AND(YEAR(MarSun1+17)=CalendarYear,MONTH(MarSun1+17)=3),MarSun1+17, "")</f>
        <v>43537</v>
      </c>
      <c r="F7" s="5">
        <f>IF(AND(YEAR(MarSun1+18)=CalendarYear,MONTH(MarSun1+18)=3),MarSun1+18, "")</f>
        <v>43538</v>
      </c>
      <c r="G7" s="5">
        <f>IF(AND(YEAR(MarSun1+19)=CalendarYear,MONTH(MarSun1+19)=3),MarSun1+19, "")</f>
        <v>43539</v>
      </c>
      <c r="H7" s="10">
        <f>IF(AND(YEAR(MarSun1+20)=CalendarYear,MONTH(MarSun1+20)=3),MarSun1+20, "")</f>
        <v>43540</v>
      </c>
    </row>
    <row r="8" spans="1:11" ht="106.5" customHeight="1">
      <c r="B8" s="21"/>
      <c r="C8" s="31" t="s">
        <v>56</v>
      </c>
      <c r="D8" s="19" t="s">
        <v>55</v>
      </c>
      <c r="E8" s="19" t="s">
        <v>57</v>
      </c>
      <c r="F8" s="19"/>
      <c r="G8" s="26" t="s">
        <v>58</v>
      </c>
      <c r="H8" s="22"/>
    </row>
    <row r="9" spans="1:11" ht="15.75" customHeight="1">
      <c r="B9" s="12">
        <f>IF(AND(YEAR(MarSun1+21)=CalendarYear,MONTH(MarSun1+21)=3),MarSun1+21, "")</f>
        <v>43541</v>
      </c>
      <c r="C9" s="6">
        <f>IF(AND(YEAR(MarSun1+22)=CalendarYear,MONTH(MarSun1+22)=3),MarSun1+22, "")</f>
        <v>43542</v>
      </c>
      <c r="D9" s="6">
        <f>IF(AND(YEAR(MarSun1+23)=CalendarYear,MONTH(MarSun1+23)=3),MarSun1+23, "")</f>
        <v>43543</v>
      </c>
      <c r="E9" s="6">
        <f>IF(AND(YEAR(MarSun1+24)=CalendarYear,MONTH(MarSun1+24)=3),MarSun1+24, "")</f>
        <v>43544</v>
      </c>
      <c r="F9" s="6">
        <f>IF(AND(YEAR(MarSun1+25)=CalendarYear,MONTH(MarSun1+25)=3),MarSun1+25, "")</f>
        <v>43545</v>
      </c>
      <c r="G9" s="6">
        <f>IF(AND(YEAR(MarSun1+26)=CalendarYear,MONTH(MarSun1+26)=3),MarSun1+26, "")</f>
        <v>43546</v>
      </c>
      <c r="H9" s="13">
        <f>IF(AND(YEAR(MarSun1+27)=CalendarYear,MONTH(MarSun1+27)=3),MarSun1+27, "")</f>
        <v>43547</v>
      </c>
    </row>
    <row r="10" spans="1:11" ht="110.25" customHeight="1">
      <c r="B10" s="21"/>
      <c r="C10" s="24" t="s">
        <v>59</v>
      </c>
      <c r="D10" s="19" t="s">
        <v>61</v>
      </c>
      <c r="E10" s="19" t="s">
        <v>60</v>
      </c>
      <c r="F10" s="19" t="s">
        <v>64</v>
      </c>
      <c r="G10" s="30" t="s">
        <v>65</v>
      </c>
      <c r="H10" s="22"/>
    </row>
    <row r="11" spans="1:11" ht="21.75" customHeight="1">
      <c r="B11" s="12">
        <f>IF(AND(YEAR(MarSun1+28)=CalendarYear,MONTH(MarSun1+28)=3),MarSun1+28, "")</f>
        <v>43548</v>
      </c>
      <c r="C11" s="6">
        <f>IF(AND(YEAR(MarSun1+29)=CalendarYear,MONTH(MarSun1+29)=3),MarSun1+29, "")</f>
        <v>43549</v>
      </c>
      <c r="D11" s="6">
        <f>IF(AND(YEAR(MarSun1+30)=CalendarYear,MONTH(MarSun1+30)=3),MarSun1+30, "")</f>
        <v>43550</v>
      </c>
      <c r="E11" s="6">
        <f>IF(AND(YEAR(MarSun1+31)=CalendarYear,MONTH(MarSun1+31)=3),MarSun1+31, "")</f>
        <v>43551</v>
      </c>
      <c r="F11" s="6">
        <f>IF(AND(YEAR(MarSun1+32)=CalendarYear,MONTH(MarSun1+32)=3),MarSun1+32, "")</f>
        <v>43552</v>
      </c>
      <c r="G11" s="6">
        <f>IF(AND(YEAR(MarSun1+33)=CalendarYear,MONTH(MarSun1+33)=3),MarSun1+33, "")</f>
        <v>43553</v>
      </c>
      <c r="H11" s="13">
        <f>IF(AND(YEAR(MarSun1+34)=CalendarYear,MONTH(MarSun1+34)=3),MarSun1+34, "")</f>
        <v>43554</v>
      </c>
    </row>
    <row r="12" spans="1:11" ht="102.75" customHeight="1">
      <c r="B12" s="21"/>
      <c r="C12" s="18" t="s">
        <v>66</v>
      </c>
      <c r="D12" s="26" t="s">
        <v>67</v>
      </c>
      <c r="E12" s="19" t="s">
        <v>68</v>
      </c>
      <c r="F12" s="28" t="s">
        <v>69</v>
      </c>
      <c r="G12" s="26" t="s">
        <v>72</v>
      </c>
      <c r="H12" s="22"/>
    </row>
    <row r="13" spans="1:11" ht="14.1" customHeight="1">
      <c r="B13" s="12">
        <f>IF(AND(YEAR(MarSun1+35)=CalendarYear,MONTH(MarSun1+35)=3),MarSun1+35, "")</f>
        <v>43555</v>
      </c>
      <c r="C13" s="6" t="str">
        <f>IF(AND(YEAR(MarSun1+36)=CalendarYear,MONTH(MarSun1+36)=3),MarSun1+36, "")</f>
        <v/>
      </c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4:H14"/>
    <mergeCell ref="D13:H13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topLeftCell="C9" workbookViewId="0">
      <selection activeCell="E12" sqref="E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DATE(CalendarYear,4,1)</f>
        <v>43556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1.25" customHeight="1">
      <c r="B3" s="9" t="str">
        <f>IF(AND(YEAR(AprSun1)=CalendarYear,MONTH(AprSun1)=4),AprSun1, "")</f>
        <v/>
      </c>
      <c r="C3" s="5">
        <f>IF(AND(YEAR(AprSun1+1)=CalendarYear,MONTH(AprSun1+1)=4),AprSun1+1, "")</f>
        <v>43556</v>
      </c>
      <c r="D3" s="5">
        <f>IF(AND(YEAR(AprSun1+2)=CalendarYear,MONTH(AprSun1+2)=4),AprSun1+2, "")</f>
        <v>43557</v>
      </c>
      <c r="E3" s="5">
        <f>IF(AND(YEAR(AprSun1+3)=CalendarYear,MONTH(AprSun1+3)=4),AprSun1+3, "")</f>
        <v>43558</v>
      </c>
      <c r="F3" s="5">
        <f>IF(AND(YEAR(AprSun1+4)=CalendarYear,MONTH(AprSun1+4)=4),AprSun1+4, "")</f>
        <v>43559</v>
      </c>
      <c r="G3" s="5">
        <f>IF(AND(YEAR(AprSun1+5)=CalendarYear,MONTH(AprSun1+5)=4),AprSun1+5, "")</f>
        <v>43560</v>
      </c>
      <c r="H3" s="10">
        <f>IF(AND(YEAR(AprSun1+6)=CalendarYear,MONTH(AprSun1+6)=4),AprSun1+6, "")</f>
        <v>43561</v>
      </c>
    </row>
    <row r="4" spans="1:11" ht="126" customHeight="1">
      <c r="B4" s="21"/>
      <c r="C4" s="18" t="s">
        <v>70</v>
      </c>
      <c r="D4" s="26" t="s">
        <v>71</v>
      </c>
      <c r="E4" s="26" t="s">
        <v>74</v>
      </c>
      <c r="F4" s="28" t="s">
        <v>75</v>
      </c>
      <c r="G4" s="26" t="s">
        <v>73</v>
      </c>
      <c r="H4" s="22"/>
    </row>
    <row r="5" spans="1:11" ht="24.75" customHeight="1">
      <c r="B5" s="11">
        <f>IF(AND(YEAR(AprSun1+7)=CalendarYear,MONTH(AprSun1+7)=4),AprSun1+7, "")</f>
        <v>43562</v>
      </c>
      <c r="C5" s="5">
        <f>IF(AND(YEAR(AprSun1+8)=CalendarYear,MONTH(AprSun1+8)=4),AprSun1+8, "")</f>
        <v>43563</v>
      </c>
      <c r="D5" s="5">
        <f>IF(AND(YEAR(AprSun1+9)=CalendarYear,MONTH(AprSun1+9)=4),AprSun1+9, "")</f>
        <v>43564</v>
      </c>
      <c r="E5" s="5">
        <f>IF(AND(YEAR(AprSun1+10)=CalendarYear,MONTH(AprSun1+10)=4),AprSun1+10, "")</f>
        <v>43565</v>
      </c>
      <c r="F5" s="5">
        <f>IF(AND(YEAR(AprSun1+11)=CalendarYear,MONTH(AprSun1+11)=4),AprSun1+11, "")</f>
        <v>43566</v>
      </c>
      <c r="G5" s="5">
        <f>IF(AND(YEAR(AprSun1+12)=CalendarYear,MONTH(AprSun1+12)=4),AprSun1+12,"")</f>
        <v>43567</v>
      </c>
      <c r="H5" s="10">
        <f>IF(AND(YEAR(AprSun1+13)=CalendarYear,MONTH(AprSun1+13)=4),AprSun1+13, "")</f>
        <v>43568</v>
      </c>
    </row>
    <row r="6" spans="1:11" ht="186.75" customHeight="1">
      <c r="B6" s="21"/>
      <c r="C6" s="27" t="s">
        <v>76</v>
      </c>
      <c r="D6" s="28" t="s">
        <v>79</v>
      </c>
      <c r="E6" s="26" t="s">
        <v>80</v>
      </c>
      <c r="F6" s="28" t="s">
        <v>81</v>
      </c>
      <c r="G6" s="19" t="s">
        <v>82</v>
      </c>
      <c r="H6" s="22"/>
    </row>
    <row r="7" spans="1:11" ht="14.1" customHeight="1">
      <c r="B7" s="11">
        <f>IF(AND(YEAR(AprSun1+14)=CalendarYear,MONTH(AprSun1+14)=4),AprSun1+14, "")</f>
        <v>43569</v>
      </c>
      <c r="C7" s="5">
        <f>IF(AND(YEAR(AprSun1+15)=CalendarYear,MONTH(AprSun1+15)=4),AprSun1+15, "")</f>
        <v>43570</v>
      </c>
      <c r="D7" s="5">
        <f>IF(AND(YEAR(AprSun1+16)=CalendarYear,MONTH(AprSun1+16)=4),AprSun1+16, "")</f>
        <v>43571</v>
      </c>
      <c r="E7" s="5">
        <f>IF(AND(YEAR(AprSun1+17)=CalendarYear,MONTH(AprSun1+17)=4),AprSun1+17, "")</f>
        <v>43572</v>
      </c>
      <c r="F7" s="5">
        <f>IF(AND(YEAR(AprSun1+18)=CalendarYear,MONTH(AprSun1+18)=4),AprSun1+18, "")</f>
        <v>43573</v>
      </c>
      <c r="G7" s="5">
        <f>IF(AND(YEAR(AprSun1+19)=CalendarYear,MONTH(AprSun1+19)=4),AprSun1+19, "")</f>
        <v>43574</v>
      </c>
      <c r="H7" s="10">
        <f>IF(AND(YEAR(AprSun1+20)=CalendarYear,MONTH(AprSun1+20)=4),AprSun1+20, "")</f>
        <v>43575</v>
      </c>
    </row>
    <row r="8" spans="1:11" ht="126.75" customHeight="1">
      <c r="B8" s="21"/>
      <c r="C8" s="24" t="s">
        <v>83</v>
      </c>
      <c r="D8" s="28" t="s">
        <v>84</v>
      </c>
      <c r="E8" s="28" t="s">
        <v>85</v>
      </c>
      <c r="F8" s="26" t="s">
        <v>86</v>
      </c>
      <c r="G8" s="32" t="s">
        <v>77</v>
      </c>
      <c r="H8" s="22"/>
    </row>
    <row r="9" spans="1:11" ht="14.1" customHeight="1">
      <c r="B9" s="12">
        <f>IF(AND(YEAR(AprSun1+21)=CalendarYear,MONTH(AprSun1+21)=4),AprSun1+21, "")</f>
        <v>43576</v>
      </c>
      <c r="C9" s="6">
        <f>IF(AND(YEAR(AprSun1+22)=CalendarYear,MONTH(AprSun1+22)=4),AprSun1+22, "")</f>
        <v>43577</v>
      </c>
      <c r="D9" s="6">
        <f>IF(AND(YEAR(AprSun1+23)=CalendarYear,MONTH(AprSun1+23)=4),AprSun1+23, "")</f>
        <v>43578</v>
      </c>
      <c r="E9" s="6">
        <f>IF(AND(YEAR(AprSun1+24)=CalendarYear,MONTH(AprSun1+24)=4),AprSun1+24, "")</f>
        <v>43579</v>
      </c>
      <c r="F9" s="6">
        <f>IF(AND(YEAR(AprSun1+25)=CalendarYear,MONTH(AprSun1+25)=4),AprSun1+25, "")</f>
        <v>43580</v>
      </c>
      <c r="G9" s="6">
        <f>IF(AND(YEAR(AprSun1+26)=CalendarYear,MONTH(AprSun1+26)=4),AprSun1+26, "")</f>
        <v>43581</v>
      </c>
      <c r="H9" s="13">
        <f>IF(AND(YEAR(AprSun1+27)=CalendarYear,MONTH(AprSun1+27)=4),AprSun1+27, "")</f>
        <v>43582</v>
      </c>
    </row>
    <row r="10" spans="1:11" ht="150.75" customHeight="1">
      <c r="B10" s="21"/>
      <c r="C10" s="33" t="s">
        <v>78</v>
      </c>
      <c r="D10" s="26" t="s">
        <v>87</v>
      </c>
      <c r="E10" s="28" t="s">
        <v>88</v>
      </c>
      <c r="F10" s="29" t="s">
        <v>91</v>
      </c>
      <c r="G10" s="26" t="s">
        <v>89</v>
      </c>
      <c r="H10" s="22"/>
    </row>
    <row r="11" spans="1:11" ht="14.1" customHeight="1">
      <c r="B11" s="12">
        <f>IF(AND(YEAR(AprSun1+28)=CalendarYear,MONTH(AprSun1+28)=4),AprSun1+28, "")</f>
        <v>43583</v>
      </c>
      <c r="C11" s="6">
        <f>IF(AND(YEAR(AprSun1+29)=CalendarYear,MONTH(AprSun1+29)=4),AprSun1+29, "")</f>
        <v>43584</v>
      </c>
      <c r="D11" s="6">
        <f>IF(AND(YEAR(AprSun1+30)=CalendarYear,MONTH(AprSun1+30)=4),AprSun1+30, "")</f>
        <v>43585</v>
      </c>
      <c r="E11" s="6" t="str">
        <f>IF(AND(YEAR(AprSun1+31)=CalendarYear,MONTH(AprSun1+31)=4),AprSun1+31, "")</f>
        <v/>
      </c>
      <c r="F11" s="6" t="str">
        <f>IF(AND(YEAR(AprSun1+32)=CalendarYear,MONTH(AprSun1+32)=4),AprSun1+32, "")</f>
        <v/>
      </c>
      <c r="G11" s="6" t="str">
        <f>IF(AND(YEAR(AprSun1+33)=CalendarYear,MONTH(AprSun1+33)=4),AprSun1+33, "")</f>
        <v/>
      </c>
      <c r="H11" s="13" t="str">
        <f>IF(AND(YEAR(AprSun1+34)=CalendarYear,MONTH(AprSun1+34)=4),AprSun1+34, "")</f>
        <v/>
      </c>
    </row>
    <row r="12" spans="1:11" ht="150" customHeight="1">
      <c r="B12" s="21"/>
      <c r="C12" s="34" t="s">
        <v>90</v>
      </c>
      <c r="D12" s="24" t="s">
        <v>92</v>
      </c>
      <c r="E12" s="25"/>
      <c r="F12" s="19"/>
      <c r="G12" s="19"/>
      <c r="H12" s="22"/>
    </row>
    <row r="13" spans="1:11" ht="14.1" customHeight="1">
      <c r="B13" s="12" t="str">
        <f>IF(AND(YEAR(AprSun1+35)=CalendarYear,MONTH(AprSun1+35)=4),AprSun1+35, "")</f>
        <v/>
      </c>
      <c r="C13" s="6" t="s">
        <v>9</v>
      </c>
      <c r="D13" s="43"/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showGridLines="0" topLeftCell="A7" workbookViewId="0">
      <selection activeCell="E12" sqref="E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DATE(CalendarYear,5,1)</f>
        <v>43586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IF(AND(YEAR(MaySun1)=CalendarYear,MONTH(MaySun1)=5),MaySun1, "")</f>
        <v/>
      </c>
      <c r="C3" s="5" t="str">
        <f>IF(AND(YEAR(MaySun1+1)=CalendarYear,MONTH(MaySun1+1)=5),MaySun1+1, "")</f>
        <v/>
      </c>
      <c r="D3" s="5" t="str">
        <f>IF(AND(YEAR(MaySun1+2)=CalendarYear,MONTH(MaySun1+2)=5),MaySun1+2, "")</f>
        <v/>
      </c>
      <c r="E3" s="5">
        <f>IF(AND(YEAR(MaySun1+3)=CalendarYear,MONTH(MaySun1+3)=5),MaySun1+3, "")</f>
        <v>43586</v>
      </c>
      <c r="F3" s="5">
        <f>IF(AND(YEAR(MaySun1+4)=CalendarYear,MONTH(MaySun1+4)=5),MaySun1+4, "")</f>
        <v>43587</v>
      </c>
      <c r="G3" s="5">
        <f>IF(AND(YEAR(MaySun1+5)=CalendarYear,MONTH(MaySun1+5)=5),MaySun1+5, "")</f>
        <v>43588</v>
      </c>
      <c r="H3" s="10">
        <f>IF(AND(YEAR(MaySun1+6)=CalendarYear,MONTH(MaySun1+6)=5),MaySun1+6, "")</f>
        <v>43589</v>
      </c>
    </row>
    <row r="4" spans="1:11" ht="160.5" customHeight="1">
      <c r="B4" s="21"/>
      <c r="C4" s="18"/>
      <c r="D4" s="19"/>
      <c r="E4" s="24" t="s">
        <v>93</v>
      </c>
      <c r="F4" s="26" t="s">
        <v>98</v>
      </c>
      <c r="G4" s="26" t="s">
        <v>94</v>
      </c>
      <c r="H4" s="22"/>
    </row>
    <row r="5" spans="1:11" ht="14.1" customHeight="1">
      <c r="B5" s="11">
        <f>IF(AND(YEAR(MaySun1+7)=CalendarYear,MONTH(MaySun1+7)=5),MaySun1+7, "")</f>
        <v>43590</v>
      </c>
      <c r="C5" s="5">
        <f>IF(AND(YEAR(MaySun1+8)=CalendarYear,MONTH(MaySun1+8)=5),MaySun1+8, "")</f>
        <v>43591</v>
      </c>
      <c r="D5" s="5">
        <f>IF(AND(YEAR(MaySun1+9)=CalendarYear,MONTH(MaySun1+9)=5),MaySun1+9, "")</f>
        <v>43592</v>
      </c>
      <c r="E5" s="5">
        <f>IF(AND(YEAR(MaySun1+10)=CalendarYear,MONTH(MaySun1+10)=5),MaySun1+10, "")</f>
        <v>43593</v>
      </c>
      <c r="F5" s="5">
        <f>IF(AND(YEAR(MaySun1+11)=CalendarYear,MONTH(MaySun1+11)=5),MaySun1+11, "")</f>
        <v>43594</v>
      </c>
      <c r="G5" s="5">
        <f>IF(AND(YEAR(MaySun1+12)=CalendarYear,MONTH(MaySun1+12)=5),MaySun1+12,"")</f>
        <v>43595</v>
      </c>
      <c r="H5" s="10">
        <f>IF(AND(YEAR(MaySun1+13)=CalendarYear,MONTH(MaySun1+13)=5),MaySun1+13, "")</f>
        <v>43596</v>
      </c>
    </row>
    <row r="6" spans="1:11" ht="90" customHeight="1">
      <c r="B6" s="21"/>
      <c r="C6" s="24" t="s">
        <v>95</v>
      </c>
      <c r="D6" s="26" t="s">
        <v>97</v>
      </c>
      <c r="E6" s="26" t="s">
        <v>99</v>
      </c>
      <c r="F6" s="26" t="s">
        <v>100</v>
      </c>
      <c r="G6" s="26" t="s">
        <v>96</v>
      </c>
      <c r="H6" s="22"/>
    </row>
    <row r="7" spans="1:11" ht="14.1" customHeight="1">
      <c r="B7" s="11">
        <f>IF(AND(YEAR(MaySun1+14)=CalendarYear,MONTH(MaySun1+14)=5),MaySun1+14, "")</f>
        <v>43597</v>
      </c>
      <c r="C7" s="5">
        <f>IF(AND(YEAR(MaySun1+15)=CalendarYear,MONTH(MaySun1+15)=5),MaySun1+15, "")</f>
        <v>43598</v>
      </c>
      <c r="D7" s="5">
        <f>IF(AND(YEAR(MaySun1+16)=CalendarYear,MONTH(MaySun1+16)=5),MaySun1+16, "")</f>
        <v>43599</v>
      </c>
      <c r="E7" s="5">
        <f>IF(AND(YEAR(MaySun1+17)=CalendarYear,MONTH(MaySun1+17)=5),MaySun1+17, "")</f>
        <v>43600</v>
      </c>
      <c r="F7" s="5">
        <f>IF(AND(YEAR(MaySun1+18)=CalendarYear,MONTH(MaySun1+18)=5),MaySun1+18, "")</f>
        <v>43601</v>
      </c>
      <c r="G7" s="5">
        <f>IF(AND(YEAR(MaySun1+19)=CalendarYear,MONTH(MaySun1+19)=5),MaySun1+19, "")</f>
        <v>43602</v>
      </c>
      <c r="H7" s="10">
        <f>IF(AND(YEAR(MaySun1+20)=CalendarYear,MONTH(MaySun1+20)=5),MaySun1+20, "")</f>
        <v>43603</v>
      </c>
    </row>
    <row r="8" spans="1:11" ht="90" customHeight="1">
      <c r="B8" s="21"/>
      <c r="C8" s="24" t="s">
        <v>101</v>
      </c>
      <c r="D8" s="26" t="s">
        <v>105</v>
      </c>
      <c r="E8" s="26" t="s">
        <v>103</v>
      </c>
      <c r="F8" s="26" t="s">
        <v>106</v>
      </c>
      <c r="G8" s="26" t="s">
        <v>107</v>
      </c>
      <c r="H8" s="22"/>
    </row>
    <row r="9" spans="1:11" ht="14.1" customHeight="1">
      <c r="B9" s="12">
        <f>IF(AND(YEAR(MaySun1+21)=CalendarYear,MONTH(MaySun1+21)=5),MaySun1+21, "")</f>
        <v>43604</v>
      </c>
      <c r="C9" s="6">
        <f>IF(AND(YEAR(MaySun1+22)=CalendarYear,MONTH(MaySun1+22)=5),MaySun1+22, "")</f>
        <v>43605</v>
      </c>
      <c r="D9" s="6">
        <f>IF(AND(YEAR(MaySun1+23)=CalendarYear,MONTH(MaySun1+23)=5),MaySun1+23, "")</f>
        <v>43606</v>
      </c>
      <c r="E9" s="6">
        <f>IF(AND(YEAR(MaySun1+24)=CalendarYear,MONTH(MaySun1+24)=5),MaySun1+24, "")</f>
        <v>43607</v>
      </c>
      <c r="F9" s="6">
        <f>IF(AND(YEAR(MaySun1+25)=CalendarYear,MONTH(MaySun1+25)=5),MaySun1+25, "")</f>
        <v>43608</v>
      </c>
      <c r="G9" s="6">
        <f>IF(AND(YEAR(MaySun1+26)=CalendarYear,MONTH(MaySun1+26)=5),MaySun1+26, "")</f>
        <v>43609</v>
      </c>
      <c r="H9" s="13">
        <f>IF(AND(YEAR(MaySun1+27)=CalendarYear,MONTH(MaySun1+27)=5),MaySun1+27, "")</f>
        <v>43610</v>
      </c>
    </row>
    <row r="10" spans="1:11" ht="135">
      <c r="B10" s="21"/>
      <c r="C10" s="24" t="s">
        <v>108</v>
      </c>
      <c r="D10" s="28" t="s">
        <v>109</v>
      </c>
      <c r="E10" s="28" t="s">
        <v>110</v>
      </c>
      <c r="F10" s="28" t="s">
        <v>111</v>
      </c>
      <c r="G10" s="26" t="s">
        <v>112</v>
      </c>
      <c r="H10" s="22"/>
    </row>
    <row r="11" spans="1:11" ht="14.1" customHeight="1">
      <c r="B11" s="12">
        <f>IF(AND(YEAR(MaySun1+28)=CalendarYear,MONTH(MaySun1+28)=5),MaySun1+28, "")</f>
        <v>43611</v>
      </c>
      <c r="C11" s="6">
        <f>IF(AND(YEAR(MaySun1+29)=CalendarYear,MONTH(MaySun1+29)=5),MaySun1+29, "")</f>
        <v>43612</v>
      </c>
      <c r="D11" s="6">
        <f>IF(AND(YEAR(MaySun1+30)=CalendarYear,MONTH(MaySun1+30)=5),MaySun1+30, "")</f>
        <v>43613</v>
      </c>
      <c r="E11" s="6">
        <v>29</v>
      </c>
      <c r="F11" s="6">
        <f>IF(AND(YEAR(MaySun1+32)=CalendarYear,MONTH(MaySun1+32)=5),MaySun1+32, "")</f>
        <v>43615</v>
      </c>
      <c r="G11" s="6">
        <f>IF(AND(YEAR(MaySun1+33)=CalendarYear,MONTH(MaySun1+33)=5),MaySun1+33, "")</f>
        <v>43616</v>
      </c>
      <c r="H11" s="13" t="str">
        <f>IF(AND(YEAR(MaySun1+34)=CalendarYear,MONTH(MaySun1+34)=5),MaySun1+34, "")</f>
        <v/>
      </c>
    </row>
    <row r="12" spans="1:11" ht="90" customHeight="1">
      <c r="B12" s="21"/>
      <c r="C12" s="24" t="s">
        <v>114</v>
      </c>
      <c r="D12" s="28" t="s">
        <v>113</v>
      </c>
      <c r="E12" s="26" t="s">
        <v>115</v>
      </c>
      <c r="F12" s="19" t="s">
        <v>102</v>
      </c>
      <c r="G12" s="19" t="s">
        <v>104</v>
      </c>
      <c r="H12" s="22"/>
    </row>
    <row r="13" spans="1:11" ht="14.1" customHeight="1">
      <c r="B13" s="12" t="str">
        <f>IF(AND(YEAR(MaySun1+35)=CalendarYear,MONTH(MaySun1+35)=5),MaySun1+35, "")</f>
        <v/>
      </c>
      <c r="C13" s="6" t="str">
        <f>IF(AND(YEAR(MaySun1+36)=CalendarYear,MONTH(MaySun1+36)=5),MaySun1+36, "")</f>
        <v/>
      </c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4"/>
  <sheetViews>
    <sheetView showGridLines="0" topLeftCell="A12" workbookViewId="0">
      <selection activeCell="D12" sqref="D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DATE(CalendarYear,6,1)</f>
        <v>43617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IF(AND(YEAR(JunSun1)=CalendarYear,MONTH(JunSun1)=6),JunSun1, "")</f>
        <v/>
      </c>
      <c r="C3" s="5" t="str">
        <f>IF(AND(YEAR(JunSun1+1)=CalendarYear,MONTH(JunSun1+1)=6),JunSun1+1, "")</f>
        <v/>
      </c>
      <c r="D3" s="5" t="str">
        <f>IF(AND(YEAR(JunSun1+2)=CalendarYear,MONTH(JunSun1+2)=6),JunSun1+2, "")</f>
        <v/>
      </c>
      <c r="E3" s="5" t="str">
        <f>IF(AND(YEAR(JunSun1+3)=CalendarYear,MONTH(JunSun1+3)=6),JunSun1+3, "")</f>
        <v/>
      </c>
      <c r="F3" s="5" t="str">
        <f>IF(AND(YEAR(JunSun1+4)=CalendarYear,MONTH(JunSun1+4)=6),JunSun1+4, "")</f>
        <v/>
      </c>
      <c r="G3" s="5" t="str">
        <f>IF(AND(YEAR(JunSun1+5)=CalendarYear,MONTH(JunSun1+5)=6),JunSun1+5, "")</f>
        <v/>
      </c>
      <c r="H3" s="10">
        <f>IF(AND(YEAR(JunSun1+6)=CalendarYear,MONTH(JunSun1+6)=6),JunSun1+6, "")</f>
        <v>43617</v>
      </c>
    </row>
    <row r="4" spans="1:11" ht="107.25" customHeight="1">
      <c r="B4" s="21"/>
      <c r="C4" s="18"/>
      <c r="E4" s="19"/>
      <c r="F4" s="19"/>
      <c r="G4" s="19"/>
      <c r="H4" s="22"/>
    </row>
    <row r="5" spans="1:11" ht="14.1" customHeight="1">
      <c r="B5" s="11">
        <f>IF(AND(YEAR(JunSun1+7)=CalendarYear,MONTH(JunSun1+7)=6),JunSun1+7, "")</f>
        <v>43618</v>
      </c>
      <c r="C5" s="5">
        <f>IF(AND(YEAR(JunSun1+8)=CalendarYear,MONTH(JunSun1+8)=6),JunSun1+8, "")</f>
        <v>43619</v>
      </c>
      <c r="D5" s="5">
        <f>IF(AND(YEAR(JunSun1+9)=CalendarYear,MONTH(JunSun1+9)=6),JunSun1+9, "")</f>
        <v>43620</v>
      </c>
      <c r="E5" s="5">
        <f>IF(AND(YEAR(JunSun1+10)=CalendarYear,MONTH(JunSun1+10)=6),JunSun1+10, "")</f>
        <v>43621</v>
      </c>
      <c r="F5" s="5">
        <f>IF(AND(YEAR(JunSun1+11)=CalendarYear,MONTH(JunSun1+11)=6),JunSun1+11, "")</f>
        <v>43622</v>
      </c>
      <c r="G5" s="5">
        <f>IF(AND(YEAR(JunSun1+12)=CalendarYear,MONTH(JunSun1+12)=6),JunSun1+12,"")</f>
        <v>43623</v>
      </c>
      <c r="H5" s="10">
        <f>IF(AND(YEAR(JunSun1+13)=CalendarYear,MONTH(JunSun1+13)=6),JunSun1+13, "")</f>
        <v>43624</v>
      </c>
    </row>
    <row r="6" spans="1:11" ht="121.5">
      <c r="B6" s="21"/>
      <c r="C6" s="26" t="s">
        <v>117</v>
      </c>
      <c r="D6" s="26" t="s">
        <v>116</v>
      </c>
      <c r="E6" s="27" t="s">
        <v>120</v>
      </c>
      <c r="F6" s="26" t="s">
        <v>119</v>
      </c>
      <c r="G6" s="19" t="s">
        <v>121</v>
      </c>
      <c r="H6" s="22"/>
    </row>
    <row r="7" spans="1:11" ht="14.1" customHeight="1">
      <c r="B7" s="11">
        <f>IF(AND(YEAR(JunSun1+14)=CalendarYear,MONTH(JunSun1+14)=6),JunSun1+14, "")</f>
        <v>43625</v>
      </c>
      <c r="C7" s="5">
        <f>IF(AND(YEAR(JunSun1+15)=CalendarYear,MONTH(JunSun1+15)=6),JunSun1+15, "")</f>
        <v>43626</v>
      </c>
      <c r="D7" s="5">
        <f>IF(AND(YEAR(JunSun1+16)=CalendarYear,MONTH(JunSun1+16)=6),JunSun1+16, "")</f>
        <v>43627</v>
      </c>
      <c r="E7" s="5">
        <f>IF(AND(YEAR(JunSun1+17)=CalendarYear,MONTH(JunSun1+17)=6),JunSun1+17, "")</f>
        <v>43628</v>
      </c>
      <c r="F7" s="5">
        <f>IF(AND(YEAR(JunSun1+18)=CalendarYear,MONTH(JunSun1+18)=6),JunSun1+18, "")</f>
        <v>43629</v>
      </c>
      <c r="G7" s="5">
        <v>14</v>
      </c>
      <c r="H7" s="10">
        <f>IF(AND(YEAR(JunSun1+20)=CalendarYear,MONTH(JunSun1+20)=6),JunSun1+20, "")</f>
        <v>43631</v>
      </c>
    </row>
    <row r="8" spans="1:11" ht="102.75" customHeight="1">
      <c r="B8" s="21"/>
      <c r="C8" s="18" t="s">
        <v>118</v>
      </c>
      <c r="D8" s="28" t="s">
        <v>123</v>
      </c>
      <c r="E8" s="28" t="s">
        <v>122</v>
      </c>
      <c r="F8" s="19" t="s">
        <v>124</v>
      </c>
      <c r="G8" s="28" t="s">
        <v>125</v>
      </c>
      <c r="H8" s="22"/>
    </row>
    <row r="9" spans="1:11" ht="14.1" customHeight="1">
      <c r="B9" s="12">
        <f>IF(AND(YEAR(JunSun1+21)=CalendarYear,MONTH(JunSun1+21)=6),JunSun1+21, "")</f>
        <v>43632</v>
      </c>
      <c r="C9" s="6">
        <f>IF(AND(YEAR(JunSun1+22)=CalendarYear,MONTH(JunSun1+22)=6),JunSun1+22, "")</f>
        <v>43633</v>
      </c>
      <c r="D9" s="6">
        <f>IF(AND(YEAR(JunSun1+23)=CalendarYear,MONTH(JunSun1+23)=6),JunSun1+23, "")</f>
        <v>43634</v>
      </c>
      <c r="E9" s="6">
        <f>IF(AND(YEAR(JunSun1+24)=CalendarYear,MONTH(JunSun1+24)=6),JunSun1+24, "")</f>
        <v>43635</v>
      </c>
      <c r="F9" s="6">
        <f>IF(AND(YEAR(JunSun1+25)=CalendarYear,MONTH(JunSun1+25)=6),JunSun1+25, "")</f>
        <v>43636</v>
      </c>
      <c r="G9" s="6">
        <f>IF(AND(YEAR(JunSun1+26)=CalendarYear,MONTH(JunSun1+26)=6),JunSun1+26, "")</f>
        <v>43637</v>
      </c>
      <c r="H9" s="13">
        <f>IF(AND(YEAR(JunSun1+27)=CalendarYear,MONTH(JunSun1+27)=6),JunSun1+27, "")</f>
        <v>43638</v>
      </c>
    </row>
    <row r="10" spans="1:11" ht="157.5" customHeight="1">
      <c r="B10" s="21"/>
      <c r="C10" s="18"/>
      <c r="D10" s="19" t="s">
        <v>126</v>
      </c>
      <c r="E10" s="26" t="s">
        <v>127</v>
      </c>
      <c r="F10" s="26" t="s">
        <v>128</v>
      </c>
      <c r="G10" s="28" t="s">
        <v>129</v>
      </c>
      <c r="H10" s="22"/>
    </row>
    <row r="11" spans="1:11" ht="14.1" customHeight="1">
      <c r="B11" s="12">
        <f>IF(AND(YEAR(JunSun1+28)=CalendarYear,MONTH(JunSun1+28)=6),JunSun1+28, "")</f>
        <v>43639</v>
      </c>
      <c r="C11" s="6">
        <f>IF(AND(YEAR(JunSun1+29)=CalendarYear,MONTH(JunSun1+29)=6),JunSun1+29, "")</f>
        <v>43640</v>
      </c>
      <c r="D11" s="6">
        <f>IF(AND(YEAR(JunSun1+30)=CalendarYear,MONTH(JunSun1+30)=6),JunSun1+30, "")</f>
        <v>43641</v>
      </c>
      <c r="E11" s="6">
        <f>IF(AND(YEAR(JunSun1+31)=CalendarYear,MONTH(JunSun1+31)=6),JunSun1+31, "")</f>
        <v>43642</v>
      </c>
      <c r="F11" s="6">
        <f>IF(AND(YEAR(JunSun1+32)=CalendarYear,MONTH(JunSun1+32)=6),JunSun1+32, "")</f>
        <v>43643</v>
      </c>
      <c r="G11" s="6">
        <f>IF(AND(YEAR(JunSun1+33)=CalendarYear,MONTH(JunSun1+33)=6),JunSun1+33, "")</f>
        <v>43644</v>
      </c>
      <c r="H11" s="13">
        <f>IF(AND(YEAR(JunSun1+34)=CalendarYear,MONTH(JunSun1+34)=6),JunSun1+34, "")</f>
        <v>43645</v>
      </c>
    </row>
    <row r="12" spans="1:11" ht="162">
      <c r="B12" s="21"/>
      <c r="C12" s="18" t="s">
        <v>130</v>
      </c>
      <c r="D12" s="18" t="s">
        <v>149</v>
      </c>
      <c r="E12" s="18" t="s">
        <v>131</v>
      </c>
      <c r="F12" s="18" t="s">
        <v>132</v>
      </c>
      <c r="G12" s="18" t="s">
        <v>133</v>
      </c>
      <c r="H12" s="22"/>
    </row>
    <row r="13" spans="1:11" ht="17.25" customHeight="1">
      <c r="B13" s="12">
        <f>IF(AND(YEAR(JunSun1+35)=CalendarYear,MONTH(JunSun1+35)=6),JunSun1+35, "")</f>
        <v>43646</v>
      </c>
      <c r="C13" s="6" t="s">
        <v>8</v>
      </c>
      <c r="D13" s="43"/>
      <c r="E13" s="43"/>
      <c r="F13" s="43"/>
      <c r="G13" s="43"/>
      <c r="H13" s="44"/>
    </row>
    <row r="14" spans="1:11" ht="108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4"/>
  <sheetViews>
    <sheetView showGridLines="0" topLeftCell="C9" workbookViewId="0">
      <selection activeCell="E12" sqref="E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DATE(CalendarYear,7,1)</f>
        <v>43647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IF(AND(YEAR(JulSun1)=CalendarYear,MONTH(JulSun1)=7),JulSun1, "")</f>
        <v/>
      </c>
      <c r="C3" s="5">
        <f>IF(AND(YEAR(JulSun1+1)=CalendarYear,MONTH(JulSun1+1)=7),JulSun1+1, "")</f>
        <v>43647</v>
      </c>
      <c r="D3" s="5">
        <f>IF(AND(YEAR(JulSun1+2)=CalendarYear,MONTH(JulSun1+2)=7),JulSun1+2, "")</f>
        <v>43648</v>
      </c>
      <c r="E3" s="5">
        <f>IF(AND(YEAR(JulSun1+3)=CalendarYear,MONTH(JulSun1+3)=7),JulSun1+3, "")</f>
        <v>43649</v>
      </c>
      <c r="F3" s="5">
        <f>IF(AND(YEAR(JulSun1+4)=CalendarYear,MONTH(JulSun1+4)=7),JulSun1+4, "")</f>
        <v>43650</v>
      </c>
      <c r="G3" s="5">
        <f>IF(AND(YEAR(JulSun1+5)=CalendarYear,MONTH(JulSun1+5)=7),JulSun1+5, "")</f>
        <v>43651</v>
      </c>
      <c r="H3" s="10">
        <f>IF(AND(YEAR(JulSun1+6)=CalendarYear,MONTH(JulSun1+6)=7),JulSun1+6, "")</f>
        <v>43652</v>
      </c>
    </row>
    <row r="4" spans="1:11" ht="148.5">
      <c r="A4" s="1">
        <v>27</v>
      </c>
      <c r="B4" s="21"/>
      <c r="C4" s="18" t="s">
        <v>134</v>
      </c>
      <c r="D4" s="18" t="s">
        <v>135</v>
      </c>
      <c r="E4" s="18" t="s">
        <v>136</v>
      </c>
      <c r="F4" s="18" t="s">
        <v>138</v>
      </c>
      <c r="G4" s="18" t="s">
        <v>139</v>
      </c>
      <c r="H4" s="22"/>
    </row>
    <row r="5" spans="1:11" ht="14.1" customHeight="1">
      <c r="B5" s="11">
        <f>IF(AND(YEAR(JulSun1+7)=CalendarYear,MONTH(JulSun1+7)=7),JulSun1+7, "")</f>
        <v>43653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10">
        <f>IF(AND(YEAR(JulSun1+13)=CalendarYear,MONTH(JulSun1+13)=7),JulSun1+13, "")</f>
        <v>43659</v>
      </c>
    </row>
    <row r="6" spans="1:11" ht="135">
      <c r="A6" s="1">
        <v>28</v>
      </c>
      <c r="B6" s="21"/>
      <c r="C6" s="35" t="s">
        <v>140</v>
      </c>
      <c r="D6" s="19" t="s">
        <v>141</v>
      </c>
      <c r="E6" s="29" t="s">
        <v>137</v>
      </c>
      <c r="F6" s="29" t="s">
        <v>142</v>
      </c>
      <c r="G6" s="26" t="s">
        <v>143</v>
      </c>
      <c r="H6" s="22"/>
    </row>
    <row r="7" spans="1:11" ht="14.1" customHeight="1">
      <c r="B7" s="11">
        <f>IF(AND(YEAR(JulSun1+14)=CalendarYear,MONTH(JulSun1+14)=7),JulSun1+14, "")</f>
        <v>43660</v>
      </c>
      <c r="C7" s="5">
        <v>15</v>
      </c>
      <c r="D7" s="5">
        <v>16</v>
      </c>
      <c r="E7" s="5">
        <v>17</v>
      </c>
      <c r="F7" s="5">
        <v>18</v>
      </c>
      <c r="G7" s="5">
        <v>19</v>
      </c>
      <c r="H7" s="10">
        <f>IF(AND(YEAR(JulSun1+20)=CalendarYear,MONTH(JulSun1+20)=7),JulSun1+20, "")</f>
        <v>43666</v>
      </c>
    </row>
    <row r="8" spans="1:11" ht="108">
      <c r="A8" s="1">
        <v>29</v>
      </c>
      <c r="B8" s="21"/>
      <c r="C8" s="26" t="s">
        <v>144</v>
      </c>
      <c r="D8" s="26" t="s">
        <v>148</v>
      </c>
      <c r="E8" s="19" t="s">
        <v>145</v>
      </c>
      <c r="F8" s="26" t="s">
        <v>146</v>
      </c>
      <c r="G8" s="26" t="s">
        <v>147</v>
      </c>
      <c r="H8" s="22"/>
    </row>
    <row r="9" spans="1:11" ht="14.1" customHeight="1">
      <c r="B9" s="12">
        <f>IF(AND(YEAR(JulSun1+21)=CalendarYear,MONTH(JulSun1+21)=7),JulSun1+21, "")</f>
        <v>43667</v>
      </c>
      <c r="C9" s="6">
        <v>22</v>
      </c>
      <c r="D9" s="6">
        <v>23</v>
      </c>
      <c r="E9" s="6">
        <v>24</v>
      </c>
      <c r="F9" s="6">
        <v>25</v>
      </c>
      <c r="G9" s="6">
        <v>26</v>
      </c>
      <c r="H9" s="13">
        <f>IF(AND(YEAR(JulSun1+27)=CalendarYear,MONTH(JulSun1+27)=7),JulSun1+27, "")</f>
        <v>43673</v>
      </c>
    </row>
    <row r="10" spans="1:11" ht="202.5">
      <c r="A10" s="1">
        <v>30</v>
      </c>
      <c r="B10" s="21"/>
      <c r="C10" s="24" t="s">
        <v>150</v>
      </c>
      <c r="D10" s="26" t="s">
        <v>151</v>
      </c>
      <c r="E10" s="29" t="s">
        <v>152</v>
      </c>
      <c r="F10" s="26" t="s">
        <v>153</v>
      </c>
      <c r="G10" s="26" t="s">
        <v>154</v>
      </c>
      <c r="H10" s="22"/>
    </row>
    <row r="11" spans="1:11" ht="14.1" customHeight="1">
      <c r="B11" s="12">
        <f>IF(AND(YEAR(JulSun1+28)=CalendarYear,MONTH(JulSun1+28)=7),JulSun1+28, "")</f>
        <v>43674</v>
      </c>
      <c r="C11" s="6">
        <v>29</v>
      </c>
      <c r="D11" s="6">
        <v>30</v>
      </c>
      <c r="E11" s="6">
        <v>31</v>
      </c>
      <c r="F11" s="6"/>
      <c r="G11" s="6"/>
      <c r="H11" s="13" t="str">
        <f>IF(AND(YEAR(JulSun1+34)=CalendarYear,MONTH(JulSun1+34)=7),JulSun1+34, "")</f>
        <v/>
      </c>
    </row>
    <row r="12" spans="1:11" ht="94.5">
      <c r="B12" s="21"/>
      <c r="C12" s="18" t="s">
        <v>156</v>
      </c>
      <c r="D12" s="18" t="s">
        <v>62</v>
      </c>
      <c r="E12" s="18" t="s">
        <v>158</v>
      </c>
      <c r="F12" s="18"/>
      <c r="G12" s="18"/>
      <c r="H12" s="22"/>
    </row>
    <row r="13" spans="1:11" ht="14.1" customHeight="1">
      <c r="B13" s="12" t="str">
        <f>IF(AND(YEAR(JulSun1+35)=CalendarYear,MONTH(JulSun1+35)=7),JulSun1+35, "")</f>
        <v/>
      </c>
      <c r="C13" s="6" t="str">
        <f>IF(AND(YEAR(JulSun1+36)=CalendarYear,MONTH(JulSun1+36)=7),JulSun1+36, "")</f>
        <v/>
      </c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76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showGridLines="0" topLeftCell="C7" workbookViewId="0">
      <selection activeCell="F12" sqref="F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DATE(CalendarYear,8,1)</f>
        <v>43678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>
        <v>511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IF(AND(YEAR(AugSun1)=CalendarYear,MONTH(AugSun1)=8),AugSun1, "")</f>
        <v/>
      </c>
      <c r="C3" s="5" t="str">
        <f>IF(AND(YEAR(AugSun1+1)=CalendarYear,MONTH(AugSun1+1)=8),AugSun1+1, "")</f>
        <v/>
      </c>
      <c r="D3" s="5" t="str">
        <f>IF(AND(YEAR(AugSun1+2)=CalendarYear,MONTH(AugSun1+2)=8),AugSun1+2, "")</f>
        <v/>
      </c>
      <c r="E3" s="5" t="str">
        <f>IF(AND(YEAR(AugSun1+3)=CalendarYear,MONTH(AugSun1+3)=8),AugSun1+3, "")</f>
        <v/>
      </c>
      <c r="F3" s="5">
        <f>IF(AND(YEAR(AugSun1+4)=CalendarYear,MONTH(AugSun1+4)=8),AugSun1+4, "")</f>
        <v>43678</v>
      </c>
      <c r="G3" s="5">
        <f>IF(AND(YEAR(AugSun1+5)=CalendarYear,MONTH(AugSun1+5)=8),AugSun1+5, "")</f>
        <v>43679</v>
      </c>
      <c r="H3" s="10">
        <f>IF(AND(YEAR(AugSun1+6)=CalendarYear,MONTH(AugSun1+6)=8),AugSun1+6, "")</f>
        <v>43680</v>
      </c>
    </row>
    <row r="4" spans="1:11" ht="90" customHeight="1">
      <c r="B4" s="21"/>
      <c r="C4" s="18"/>
      <c r="D4" s="19"/>
      <c r="E4" s="19"/>
      <c r="F4" s="18" t="s">
        <v>63</v>
      </c>
      <c r="G4" s="18" t="s">
        <v>155</v>
      </c>
      <c r="H4" s="22"/>
    </row>
    <row r="5" spans="1:11" ht="14.1" customHeight="1">
      <c r="B5" s="11">
        <f>IF(AND(YEAR(AugSun1+7)=CalendarYear,MONTH(AugSun1+7)=8),AugSun1+7, "")</f>
        <v>43681</v>
      </c>
      <c r="C5" s="5">
        <f>IF(AND(YEAR(AugSun1+8)=CalendarYear,MONTH(AugSun1+8)=8),AugSun1+8, "")</f>
        <v>43682</v>
      </c>
      <c r="D5" s="5">
        <f>IF(AND(YEAR(AugSun1+9)=CalendarYear,MONTH(AugSun1+9)=8),AugSun1+9, "")</f>
        <v>43683</v>
      </c>
      <c r="E5" s="5">
        <f>IF(AND(YEAR(AugSun1+10)=CalendarYear,MONTH(AugSun1+10)=8),AugSun1+10, "")</f>
        <v>43684</v>
      </c>
      <c r="F5" s="5">
        <f>IF(AND(YEAR(AugSun1+11)=CalendarYear,MONTH(AugSun1+11)=8),AugSun1+11, "")</f>
        <v>43685</v>
      </c>
      <c r="G5" s="5">
        <f>IF(AND(YEAR(AugSun1+12)=CalendarYear,MONTH(AugSun1+12)=8),AugSun1+12,"")</f>
        <v>43686</v>
      </c>
      <c r="H5" s="10">
        <f>IF(AND(YEAR(AugSun1+13)=CalendarYear,MONTH(AugSun1+13)=8),AugSun1+13, "")</f>
        <v>43687</v>
      </c>
    </row>
    <row r="6" spans="1:11" ht="135">
      <c r="B6" s="21"/>
      <c r="C6" s="18" t="s">
        <v>157</v>
      </c>
      <c r="D6" s="18" t="s">
        <v>159</v>
      </c>
      <c r="E6" s="18" t="s">
        <v>160</v>
      </c>
      <c r="F6" s="18" t="s">
        <v>161</v>
      </c>
      <c r="G6" s="18" t="s">
        <v>62</v>
      </c>
      <c r="H6" s="22"/>
    </row>
    <row r="7" spans="1:11" ht="14.1" customHeight="1">
      <c r="B7" s="11">
        <f>IF(AND(YEAR(AugSun1+14)=CalendarYear,MONTH(AugSun1+14)=8),AugSun1+14, "")</f>
        <v>43688</v>
      </c>
      <c r="C7" s="5">
        <f>IF(AND(YEAR(AugSun1+15)=CalendarYear,MONTH(AugSun1+15)=8),AugSun1+15, "")</f>
        <v>43689</v>
      </c>
      <c r="D7" s="5">
        <f>IF(AND(YEAR(AugSun1+16)=CalendarYear,MONTH(AugSun1+16)=8),AugSun1+16, "")</f>
        <v>43690</v>
      </c>
      <c r="E7" s="5">
        <f>IF(AND(YEAR(AugSun1+17)=CalendarYear,MONTH(AugSun1+17)=8),AugSun1+17, "")</f>
        <v>43691</v>
      </c>
      <c r="F7" s="5">
        <f>IF(AND(YEAR(AugSun1+18)=CalendarYear,MONTH(AugSun1+18)=8),AugSun1+18, "")</f>
        <v>43692</v>
      </c>
      <c r="G7" s="5">
        <f>IF(AND(YEAR(AugSun1+19)=CalendarYear,MONTH(AugSun1+19)=8),AugSun1+19, "")</f>
        <v>43693</v>
      </c>
      <c r="H7" s="10">
        <f>IF(AND(YEAR(AugSun1+20)=CalendarYear,MONTH(AugSun1+20)=8),AugSun1+20, "")</f>
        <v>43694</v>
      </c>
    </row>
    <row r="8" spans="1:11" ht="90" customHeight="1">
      <c r="B8" s="21"/>
      <c r="C8" s="18" t="s">
        <v>62</v>
      </c>
      <c r="D8" s="18" t="s">
        <v>162</v>
      </c>
      <c r="E8" s="18" t="s">
        <v>163</v>
      </c>
      <c r="F8" s="18" t="s">
        <v>62</v>
      </c>
      <c r="G8" s="28" t="s">
        <v>164</v>
      </c>
      <c r="H8" s="22"/>
    </row>
    <row r="9" spans="1:11" ht="14.1" customHeight="1">
      <c r="B9" s="12">
        <f>IF(AND(YEAR(AugSun1+21)=CalendarYear,MONTH(AugSun1+21)=8),AugSun1+21, "")</f>
        <v>43695</v>
      </c>
      <c r="C9" s="6">
        <f>IF(AND(YEAR(AugSun1+22)=CalendarYear,MONTH(AugSun1+22)=8),AugSun1+22, "")</f>
        <v>43696</v>
      </c>
      <c r="D9" s="6">
        <f>IF(AND(YEAR(AugSun1+23)=CalendarYear,MONTH(AugSun1+23)=8),AugSun1+23, "")</f>
        <v>43697</v>
      </c>
      <c r="E9" s="6">
        <f>IF(AND(YEAR(AugSun1+24)=CalendarYear,MONTH(AugSun1+24)=8),AugSun1+24, "")</f>
        <v>43698</v>
      </c>
      <c r="F9" s="6">
        <f>IF(AND(YEAR(AugSun1+25)=CalendarYear,MONTH(AugSun1+25)=8),AugSun1+25, "")</f>
        <v>43699</v>
      </c>
      <c r="G9" s="6">
        <f>IF(AND(YEAR(AugSun1+26)=CalendarYear,MONTH(AugSun1+26)=8),AugSun1+26, "")</f>
        <v>43700</v>
      </c>
      <c r="H9" s="13">
        <f>IF(AND(YEAR(AugSun1+27)=CalendarYear,MONTH(AugSun1+27)=8),AugSun1+27, "")</f>
        <v>43701</v>
      </c>
    </row>
    <row r="10" spans="1:11" ht="94.5">
      <c r="B10" s="21"/>
      <c r="C10" s="24" t="s">
        <v>165</v>
      </c>
      <c r="D10" s="26" t="s">
        <v>166</v>
      </c>
      <c r="E10" s="26" t="s">
        <v>167</v>
      </c>
      <c r="F10" s="26" t="s">
        <v>168</v>
      </c>
      <c r="G10" s="30" t="s">
        <v>170</v>
      </c>
      <c r="H10" s="22"/>
    </row>
    <row r="11" spans="1:11" ht="14.1" customHeight="1">
      <c r="B11" s="12">
        <f>IF(AND(YEAR(AugSun1+28)=CalendarYear,MONTH(AugSun1+28)=8),AugSun1+28, "")</f>
        <v>43702</v>
      </c>
      <c r="C11" s="6">
        <f>IF(AND(YEAR(AugSun1+29)=CalendarYear,MONTH(AugSun1+29)=8),AugSun1+29, "")</f>
        <v>43703</v>
      </c>
      <c r="D11" s="6">
        <f>IF(AND(YEAR(AugSun1+30)=CalendarYear,MONTH(AugSun1+30)=8),AugSun1+30, "")</f>
        <v>43704</v>
      </c>
      <c r="E11" s="6">
        <f>IF(AND(YEAR(AugSun1+31)=CalendarYear,MONTH(AugSun1+31)=8),AugSun1+31, "")</f>
        <v>43705</v>
      </c>
      <c r="F11" s="6">
        <f>IF(AND(YEAR(AugSun1+32)=CalendarYear,MONTH(AugSun1+32)=8),AugSun1+32, "")</f>
        <v>43706</v>
      </c>
      <c r="G11" s="6">
        <f>IF(AND(YEAR(AugSun1+33)=CalendarYear,MONTH(AugSun1+33)=8),AugSun1+33, "")</f>
        <v>43707</v>
      </c>
      <c r="H11" s="13">
        <f>IF(AND(YEAR(AugSun1+34)=CalendarYear,MONTH(AugSun1+34)=8),AugSun1+34, "")</f>
        <v>43708</v>
      </c>
    </row>
    <row r="12" spans="1:11" ht="90" customHeight="1">
      <c r="B12" s="21"/>
      <c r="C12" s="30" t="s">
        <v>169</v>
      </c>
      <c r="D12" s="26" t="s">
        <v>171</v>
      </c>
      <c r="E12" s="26" t="s">
        <v>172</v>
      </c>
      <c r="F12" s="26" t="s">
        <v>173</v>
      </c>
      <c r="G12" s="26" t="s">
        <v>175</v>
      </c>
      <c r="H12" s="22"/>
    </row>
    <row r="13" spans="1:11" ht="14.1" customHeight="1">
      <c r="B13" s="12" t="str">
        <f>IF(AND(YEAR(AugSun1+35)=CalendarYear,MONTH(AugSun1+35)=8),AugSun1+35, "")</f>
        <v/>
      </c>
      <c r="C13" s="6"/>
      <c r="D13" s="43" t="s">
        <v>8</v>
      </c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4"/>
  <sheetViews>
    <sheetView showGridLines="0" topLeftCell="C7" workbookViewId="0">
      <selection activeCell="C12" sqref="C12"/>
    </sheetView>
  </sheetViews>
  <sheetFormatPr baseColWidth="10" defaultColWidth="8.75" defaultRowHeight="14.25"/>
  <cols>
    <col min="1" max="1" width="2.375" style="1" customWidth="1"/>
    <col min="2" max="2" width="17.625" style="4" customWidth="1"/>
    <col min="3" max="3" width="30.5" style="4" customWidth="1"/>
    <col min="4" max="4" width="33.125" style="4" customWidth="1"/>
    <col min="5" max="7" width="30.5" style="4" customWidth="1"/>
    <col min="8" max="8" width="17.625" style="4" customWidth="1"/>
    <col min="9" max="9" width="8.75" style="4"/>
    <col min="10" max="10" width="15.25" style="4" customWidth="1"/>
    <col min="11" max="11" width="16.75" style="4" customWidth="1"/>
    <col min="12" max="16384" width="8.75" style="4"/>
  </cols>
  <sheetData>
    <row r="1" spans="1:11" s="1" customFormat="1" ht="59.25" customHeight="1" thickBot="1">
      <c r="B1" s="39">
        <f>DATE(CalendarYear,9,1)</f>
        <v>43709</v>
      </c>
      <c r="C1" s="39"/>
      <c r="D1" s="39"/>
      <c r="E1" s="39"/>
      <c r="F1" s="39"/>
      <c r="G1" s="39"/>
      <c r="H1" s="39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>
        <f>IF(AND(YEAR(SepSun1)=CalendarYear,MONTH(SepSun1)=9),SepSun1, "")</f>
        <v>43709</v>
      </c>
      <c r="C3" s="5">
        <f>IF(AND(YEAR(SepSun1+1)=CalendarYear,MONTH(SepSun1+1)=9),SepSun1+1, "")</f>
        <v>43710</v>
      </c>
      <c r="D3" s="5">
        <f>IF(AND(YEAR(SepSun1+2)=CalendarYear,MONTH(SepSun1+2)=9),SepSun1+2, "")</f>
        <v>43711</v>
      </c>
      <c r="E3" s="5">
        <f>IF(AND(YEAR(SepSun1+3)=CalendarYear,MONTH(SepSun1+3)=9),SepSun1+3, "")</f>
        <v>43712</v>
      </c>
      <c r="F3" s="5">
        <f>IF(AND(YEAR(SepSun1+4)=CalendarYear,MONTH(SepSun1+4)=9),SepSun1+4, "")</f>
        <v>43713</v>
      </c>
      <c r="G3" s="5">
        <f>IF(AND(YEAR(SepSun1+5)=CalendarYear,MONTH(SepSun1+5)=9),SepSun1+5, "")</f>
        <v>43714</v>
      </c>
      <c r="H3" s="10">
        <f>IF(AND(YEAR(SepSun1+6)=CalendarYear,MONTH(SepSun1+6)=9),SepSun1+6, "")</f>
        <v>43715</v>
      </c>
    </row>
    <row r="4" spans="1:11" ht="189">
      <c r="B4" s="21"/>
      <c r="C4" s="26" t="s">
        <v>174</v>
      </c>
      <c r="D4" s="26" t="s">
        <v>176</v>
      </c>
      <c r="E4" s="29" t="s">
        <v>177</v>
      </c>
      <c r="F4" s="26" t="s">
        <v>179</v>
      </c>
      <c r="G4" s="26" t="s">
        <v>178</v>
      </c>
      <c r="H4" s="22"/>
    </row>
    <row r="5" spans="1:11" ht="14.1" customHeight="1">
      <c r="B5" s="11">
        <f>IF(AND(YEAR(SepSun1+7)=CalendarYear,MONTH(SepSun1+7)=9),SepSun1+7, "")</f>
        <v>43716</v>
      </c>
      <c r="C5" s="5">
        <f>IF(AND(YEAR(SepSun1+8)=CalendarYear,MONTH(SepSun1+8)=9),SepSun1+8, "")</f>
        <v>43717</v>
      </c>
      <c r="D5" s="5">
        <f>IF(AND(YEAR(SepSun1+9)=CalendarYear,MONTH(SepSun1+9)=9),SepSun1+9, "")</f>
        <v>43718</v>
      </c>
      <c r="E5" s="5">
        <f>IF(AND(YEAR(SepSun1+10)=CalendarYear,MONTH(SepSun1+10)=9),SepSun1+10, "")</f>
        <v>43719</v>
      </c>
      <c r="F5" s="5">
        <f>IF(AND(YEAR(SepSun1+11)=CalendarYear,MONTH(SepSun1+11)=9),SepSun1+11, "")</f>
        <v>43720</v>
      </c>
      <c r="G5" s="5">
        <f>IF(AND(YEAR(SepSun1+12)=CalendarYear,MONTH(SepSun1+12)=9),SepSun1+12,"")</f>
        <v>43721</v>
      </c>
      <c r="H5" s="10">
        <f>IF(AND(YEAR(SepSun1+13)=CalendarYear,MONTH(SepSun1+13)=9),SepSun1+13, "")</f>
        <v>43722</v>
      </c>
    </row>
    <row r="6" spans="1:11" ht="121.5">
      <c r="B6" s="21"/>
      <c r="C6" s="18"/>
      <c r="D6" s="19" t="s">
        <v>181</v>
      </c>
      <c r="E6" s="26" t="s">
        <v>182</v>
      </c>
      <c r="F6" s="19" t="s">
        <v>183</v>
      </c>
      <c r="G6" s="26" t="s">
        <v>184</v>
      </c>
      <c r="H6" s="22"/>
    </row>
    <row r="7" spans="1:11" ht="14.1" customHeight="1">
      <c r="B7" s="11">
        <f>IF(AND(YEAR(SepSun1+14)=CalendarYear,MONTH(SepSun1+14)=9),SepSun1+14, "")</f>
        <v>43723</v>
      </c>
      <c r="C7" s="5">
        <f>IF(AND(YEAR(SepSun1+15)=CalendarYear,MONTH(SepSun1+15)=9),SepSun1+15, "")</f>
        <v>43724</v>
      </c>
      <c r="D7" s="5">
        <f>IF(AND(YEAR(SepSun1+16)=CalendarYear,MONTH(SepSun1+16)=9),SepSun1+16, "")</f>
        <v>43725</v>
      </c>
      <c r="E7" s="5">
        <f>IF(AND(YEAR(SepSun1+17)=CalendarYear,MONTH(SepSun1+17)=9),SepSun1+17, "")</f>
        <v>43726</v>
      </c>
      <c r="F7" s="5">
        <f>IF(AND(YEAR(SepSun1+18)=CalendarYear,MONTH(SepSun1+18)=9),SepSun1+18, "")</f>
        <v>43727</v>
      </c>
      <c r="G7" s="5">
        <f>IF(AND(YEAR(SepSun1+19)=CalendarYear,MONTH(SepSun1+19)=9),SepSun1+19, "")</f>
        <v>43728</v>
      </c>
      <c r="H7" s="10">
        <f>IF(AND(YEAR(SepSun1+20)=CalendarYear,MONTH(SepSun1+20)=9),SepSun1+20, "")</f>
        <v>43729</v>
      </c>
    </row>
    <row r="8" spans="1:11" ht="108">
      <c r="B8" s="21"/>
      <c r="C8" s="26" t="s">
        <v>180</v>
      </c>
      <c r="D8" s="24" t="s">
        <v>185</v>
      </c>
      <c r="E8" s="26" t="s">
        <v>186</v>
      </c>
      <c r="F8" s="26" t="s">
        <v>187</v>
      </c>
      <c r="G8" s="36" t="s">
        <v>188</v>
      </c>
      <c r="H8" s="22"/>
    </row>
    <row r="9" spans="1:11" ht="14.1" customHeight="1">
      <c r="B9" s="12">
        <f>IF(AND(YEAR(SepSun1+21)=CalendarYear,MONTH(SepSun1+21)=9),SepSun1+21, "")</f>
        <v>43730</v>
      </c>
      <c r="C9" s="6">
        <f>IF(AND(YEAR(SepSun1+22)=CalendarYear,MONTH(SepSun1+22)=9),SepSun1+22, "")</f>
        <v>43731</v>
      </c>
      <c r="D9" s="6">
        <f>IF(AND(YEAR(SepSun1+23)=CalendarYear,MONTH(SepSun1+23)=9),SepSun1+23, "")</f>
        <v>43732</v>
      </c>
      <c r="E9" s="6">
        <f>IF(AND(YEAR(SepSun1+24)=CalendarYear,MONTH(SepSun1+24)=9),SepSun1+24, "")</f>
        <v>43733</v>
      </c>
      <c r="F9" s="6">
        <f>IF(AND(YEAR(SepSun1+25)=CalendarYear,MONTH(SepSun1+25)=9),SepSun1+25, "")</f>
        <v>43734</v>
      </c>
      <c r="G9" s="6">
        <f>IF(AND(YEAR(SepSun1+26)=CalendarYear,MONTH(SepSun1+26)=9),SepSun1+26, "")</f>
        <v>43735</v>
      </c>
      <c r="H9" s="13">
        <f>IF(AND(YEAR(SepSun1+27)=CalendarYear,MONTH(SepSun1+27)=9),SepSun1+27, "")</f>
        <v>43736</v>
      </c>
    </row>
    <row r="10" spans="1:11" ht="121.5">
      <c r="B10" s="21"/>
      <c r="C10" s="28" t="s">
        <v>190</v>
      </c>
      <c r="D10" s="28" t="s">
        <v>191</v>
      </c>
      <c r="E10" s="26" t="s">
        <v>192</v>
      </c>
      <c r="F10" s="26" t="s">
        <v>189</v>
      </c>
      <c r="G10" s="26" t="s">
        <v>193</v>
      </c>
      <c r="H10" s="22"/>
    </row>
    <row r="11" spans="1:11" ht="14.1" customHeight="1">
      <c r="B11" s="12">
        <f>IF(AND(YEAR(SepSun1+28)=CalendarYear,MONTH(SepSun1+28)=9),SepSun1+28, "")</f>
        <v>43737</v>
      </c>
      <c r="C11" s="6">
        <f>IF(AND(YEAR(SepSun1+29)=CalendarYear,MONTH(SepSun1+29)=9),SepSun1+29, "")</f>
        <v>43738</v>
      </c>
      <c r="D11" s="6" t="str">
        <f>IF(AND(YEAR(SepSun1+30)=CalendarYear,MONTH(SepSun1+30)=9),SepSun1+30, "")</f>
        <v/>
      </c>
      <c r="E11" s="6" t="str">
        <f>IF(AND(YEAR(SepSun1+31)=CalendarYear,MONTH(SepSun1+31)=9),SepSun1+31, "")</f>
        <v/>
      </c>
      <c r="F11" s="6" t="str">
        <f>IF(AND(YEAR(SepSun1+32)=CalendarYear,MONTH(SepSun1+32)=9),SepSun1+32, "")</f>
        <v/>
      </c>
      <c r="G11" s="6" t="str">
        <f>IF(AND(YEAR(SepSun1+33)=CalendarYear,MONTH(SepSun1+33)=9),SepSun1+33, "")</f>
        <v/>
      </c>
      <c r="H11" s="13" t="str">
        <f>IF(AND(YEAR(SepSun1+34)=CalendarYear,MONTH(SepSun1+34)=9),SepSun1+34, "")</f>
        <v/>
      </c>
    </row>
    <row r="12" spans="1:11" ht="67.5">
      <c r="B12" s="21"/>
      <c r="C12" s="25" t="s">
        <v>195</v>
      </c>
      <c r="D12" s="19"/>
      <c r="E12" s="19"/>
      <c r="F12" s="19"/>
      <c r="G12" s="19"/>
      <c r="H12" s="22"/>
    </row>
    <row r="13" spans="1:11" ht="14.1" customHeight="1">
      <c r="B13" s="12" t="str">
        <f>IF(AND(YEAR(SepSun1+35)=CalendarYear,MONTH(SepSun1+35)=9),SepSun1+35, "")</f>
        <v/>
      </c>
      <c r="C13" s="6" t="s">
        <v>8</v>
      </c>
      <c r="D13" s="43"/>
      <c r="E13" s="43"/>
      <c r="F13" s="43"/>
      <c r="G13" s="43"/>
      <c r="H13" s="44"/>
    </row>
    <row r="14" spans="1:11" ht="57.95" customHeight="1" thickBot="1">
      <c r="B14" s="23"/>
      <c r="C14" s="20"/>
      <c r="D14" s="40"/>
      <c r="E14" s="41"/>
      <c r="F14" s="41"/>
      <c r="G14" s="41"/>
      <c r="H14" s="42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7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Lookup List</vt:lpstr>
      <vt:lpstr>CalendarYear</vt:lpstr>
      <vt:lpstr>Year</vt:lpstr>
      <vt:lpstr>Jan!Zone_d_impression</vt:lpstr>
      <vt:lpstr>Jul!Zone_d_impression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Gabriel Gagnère</cp:lastModifiedBy>
  <cp:lastPrinted>2019-03-07T11:11:59Z</cp:lastPrinted>
  <dcterms:created xsi:type="dcterms:W3CDTF">2001-05-02T15:52:45Z</dcterms:created>
  <dcterms:modified xsi:type="dcterms:W3CDTF">2019-12-19T14:25:13Z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</Properties>
</file>