
<file path=[Content_Types].xml><?xml version="1.0" encoding="utf-8"?>
<Types xmlns="http://schemas.openxmlformats.org/package/2006/content-types">
  <Default Extension="bin" ContentType="application/vnd.openxmlformats-officedocument.spreadsheetml.customProperty"/>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tables/table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autoCompressPictures="0"/>
  <mc:AlternateContent xmlns:mc="http://schemas.openxmlformats.org/markup-compatibility/2006">
    <mc:Choice Requires="x15">
      <x15ac:absPath xmlns:x15ac="http://schemas.microsoft.com/office/spreadsheetml/2010/11/ac" url="E:\Datas\Logistics\"/>
    </mc:Choice>
  </mc:AlternateContent>
  <bookViews>
    <workbookView xWindow="0" yWindow="0" windowWidth="19140" windowHeight="7860" tabRatio="788" activeTab="11"/>
  </bookViews>
  <sheets>
    <sheet name="Jan" sheetId="14" r:id="rId1"/>
    <sheet name="Feb" sheetId="19" r:id="rId2"/>
    <sheet name="Mar" sheetId="20" r:id="rId3"/>
    <sheet name="Apr" sheetId="22" r:id="rId4"/>
    <sheet name="May" sheetId="24" r:id="rId5"/>
    <sheet name="Jun" sheetId="25" r:id="rId6"/>
    <sheet name="Jul" sheetId="26" r:id="rId7"/>
    <sheet name="Aug" sheetId="32" r:id="rId8"/>
    <sheet name="Sep" sheetId="28" r:id="rId9"/>
    <sheet name="Oct" sheetId="29" r:id="rId10"/>
    <sheet name="Nov" sheetId="30" r:id="rId11"/>
    <sheet name="Dec" sheetId="31" r:id="rId12"/>
    <sheet name="Lookup List" sheetId="15" r:id="rId13"/>
  </sheets>
  <definedNames>
    <definedName name="AprSun1">DATE(CalendarYear,4,1)-WEEKDAY(DATE(CalendarYear,4,1))+1</definedName>
    <definedName name="AugSun1">DATE(CalendarYear,8,1)-WEEKDAY(DATE(CalendarYear,8,1))+1</definedName>
    <definedName name="CalendarYear">Jan!$K$1</definedName>
    <definedName name="DecSun1">DATE(CalendarYear,12,1)-WEEKDAY(DATE(CalendarYear,12,1))+1</definedName>
    <definedName name="FebSun1">DATE(CalendarYear,2,1)-WEEKDAY(DATE(CalendarYear,2,1))+1</definedName>
    <definedName name="JanSun1">DATE(CalendarYear,1,1)-WEEKDAY(DATE(CalendarYear,1,1))+1</definedName>
    <definedName name="JulSun1">DATE(CalendarYear,7,1)-WEEKDAY(DATE(CalendarYear,7,1))+1</definedName>
    <definedName name="JunSun1">DATE(CalendarYear,6,1)-WEEKDAY(DATE(CalendarYear,6,1))+1</definedName>
    <definedName name="MarSun1">DATE(CalendarYear,3,1)-WEEKDAY(DATE(CalendarYear,3,1))+1</definedName>
    <definedName name="MaySun1">DATE(CalendarYear,5,1)-WEEKDAY(DATE(CalendarYear,5,1))+1</definedName>
    <definedName name="NovSun1">DATE(CalendarYear,11,1)-WEEKDAY(DATE(CalendarYear,11,1))+1</definedName>
    <definedName name="OctSun1">DATE(CalendarYear,10,1)-WEEKDAY(DATE(CalendarYear,10,1))+1</definedName>
    <definedName name="SepSun1">DATE(CalendarYear,9,1)-WEEKDAY(DATE(CalendarYear,9,1))+1</definedName>
    <definedName name="Year">YearLookup[]</definedName>
    <definedName name="_xlnm.Print_Area" localSheetId="0">Jan!$A$1:$H$14</definedName>
    <definedName name="_xlnm.Print_Area" localSheetId="6">Jul!$C$2:$G$12</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F11" i="30" l="1"/>
  <c r="C9" i="29" l="1"/>
  <c r="F7" i="29" l="1"/>
  <c r="F11" i="28" l="1"/>
  <c r="E9" i="28" l="1"/>
  <c r="D9" i="28" l="1"/>
  <c r="E9" i="32" l="1"/>
  <c r="G7" i="26" l="1"/>
  <c r="B1" i="14" l="1"/>
  <c r="C13" i="32" l="1"/>
  <c r="B13" i="32"/>
  <c r="H11" i="32"/>
  <c r="G11" i="32"/>
  <c r="F11" i="32"/>
  <c r="E11" i="32"/>
  <c r="D11" i="32"/>
  <c r="C11" i="32"/>
  <c r="B11" i="32"/>
  <c r="H9" i="32"/>
  <c r="G9" i="32"/>
  <c r="F9" i="32"/>
  <c r="D9" i="32"/>
  <c r="C9" i="32"/>
  <c r="B9" i="32"/>
  <c r="H7" i="32"/>
  <c r="G7" i="32"/>
  <c r="F7" i="32"/>
  <c r="E7" i="32"/>
  <c r="D7" i="32"/>
  <c r="C7" i="32"/>
  <c r="B7" i="32"/>
  <c r="H5" i="32"/>
  <c r="G5" i="32"/>
  <c r="F5" i="32"/>
  <c r="E5" i="32"/>
  <c r="D5" i="32"/>
  <c r="C5" i="32"/>
  <c r="B5" i="32"/>
  <c r="H3" i="32"/>
  <c r="G3" i="32"/>
  <c r="F3" i="32"/>
  <c r="E3" i="32"/>
  <c r="D3" i="32"/>
  <c r="C3" i="32"/>
  <c r="B3" i="32"/>
  <c r="B1" i="32"/>
  <c r="B1" i="28"/>
  <c r="C13" i="31"/>
  <c r="B13" i="31"/>
  <c r="H11" i="31"/>
  <c r="G11" i="31"/>
  <c r="F11" i="31"/>
  <c r="E11" i="31"/>
  <c r="D11" i="31"/>
  <c r="C11" i="31"/>
  <c r="B11" i="31"/>
  <c r="H9" i="31"/>
  <c r="G9" i="31"/>
  <c r="F9" i="31"/>
  <c r="E9" i="31"/>
  <c r="D9" i="31"/>
  <c r="C9" i="31"/>
  <c r="B9" i="31"/>
  <c r="H7" i="31"/>
  <c r="G7" i="31"/>
  <c r="F7" i="31"/>
  <c r="E7" i="31"/>
  <c r="D7" i="31"/>
  <c r="C7" i="31"/>
  <c r="B7" i="31"/>
  <c r="H5" i="31"/>
  <c r="G5" i="31"/>
  <c r="F5" i="31"/>
  <c r="E5" i="31"/>
  <c r="D5" i="31"/>
  <c r="C5" i="31"/>
  <c r="B5" i="31"/>
  <c r="H3" i="31"/>
  <c r="G3" i="31"/>
  <c r="F3" i="31"/>
  <c r="E3" i="31"/>
  <c r="D3" i="31"/>
  <c r="C3" i="31"/>
  <c r="B3" i="31"/>
  <c r="B1" i="31"/>
  <c r="B13" i="30"/>
  <c r="H11" i="30"/>
  <c r="G11" i="30"/>
  <c r="E11" i="30"/>
  <c r="D11" i="30"/>
  <c r="C11" i="30"/>
  <c r="B11" i="30"/>
  <c r="H9" i="30"/>
  <c r="G9" i="30"/>
  <c r="F9" i="30"/>
  <c r="E9" i="30"/>
  <c r="D9" i="30"/>
  <c r="C9" i="30"/>
  <c r="B9" i="30"/>
  <c r="H7" i="30"/>
  <c r="G7" i="30"/>
  <c r="F7" i="30"/>
  <c r="E7" i="30"/>
  <c r="D7" i="30"/>
  <c r="C7" i="30"/>
  <c r="B7" i="30"/>
  <c r="H5" i="30"/>
  <c r="G5" i="30"/>
  <c r="F5" i="30"/>
  <c r="E5" i="30"/>
  <c r="D5" i="30"/>
  <c r="C5" i="30"/>
  <c r="B5" i="30"/>
  <c r="H3" i="30"/>
  <c r="G3" i="30"/>
  <c r="F3" i="30"/>
  <c r="E3" i="30"/>
  <c r="D3" i="30"/>
  <c r="C3" i="30"/>
  <c r="B3" i="30"/>
  <c r="B1" i="30"/>
  <c r="C13" i="29"/>
  <c r="B13" i="29"/>
  <c r="H11" i="29"/>
  <c r="G11" i="29"/>
  <c r="F11" i="29"/>
  <c r="E11" i="29"/>
  <c r="D11" i="29"/>
  <c r="C11" i="29"/>
  <c r="B11" i="29"/>
  <c r="H9" i="29"/>
  <c r="G9" i="29"/>
  <c r="F9" i="29"/>
  <c r="E9" i="29"/>
  <c r="D9" i="29"/>
  <c r="B9" i="29"/>
  <c r="H7" i="29"/>
  <c r="G7" i="29"/>
  <c r="E7" i="29"/>
  <c r="D7" i="29"/>
  <c r="C7" i="29"/>
  <c r="B7" i="29"/>
  <c r="H5" i="29"/>
  <c r="G5" i="29"/>
  <c r="F5" i="29"/>
  <c r="E5" i="29"/>
  <c r="D5" i="29"/>
  <c r="C5" i="29"/>
  <c r="B5" i="29"/>
  <c r="H3" i="29"/>
  <c r="G3" i="29"/>
  <c r="F3" i="29"/>
  <c r="E3" i="29"/>
  <c r="D3" i="29"/>
  <c r="C3" i="29"/>
  <c r="B3" i="29"/>
  <c r="B1" i="29"/>
  <c r="B13" i="28"/>
  <c r="H11" i="28"/>
  <c r="G11" i="28"/>
  <c r="E11" i="28"/>
  <c r="D11" i="28"/>
  <c r="C11" i="28"/>
  <c r="B11" i="28"/>
  <c r="H9" i="28"/>
  <c r="G9" i="28"/>
  <c r="F9" i="28"/>
  <c r="C9" i="28"/>
  <c r="B9" i="28"/>
  <c r="H7" i="28"/>
  <c r="G7" i="28"/>
  <c r="F7" i="28"/>
  <c r="E7" i="28"/>
  <c r="D7" i="28"/>
  <c r="C7" i="28"/>
  <c r="B7" i="28"/>
  <c r="H5" i="28"/>
  <c r="G5" i="28"/>
  <c r="F5" i="28"/>
  <c r="E5" i="28"/>
  <c r="D5" i="28"/>
  <c r="C5" i="28"/>
  <c r="B5" i="28"/>
  <c r="H3" i="28"/>
  <c r="G3" i="28"/>
  <c r="F3" i="28"/>
  <c r="E3" i="28"/>
  <c r="D3" i="28"/>
  <c r="C3" i="28"/>
  <c r="B3" i="28"/>
  <c r="C13" i="26"/>
  <c r="B13" i="26"/>
  <c r="H11" i="26"/>
  <c r="G11" i="26"/>
  <c r="F11" i="26"/>
  <c r="E11" i="26"/>
  <c r="D11" i="26"/>
  <c r="C11" i="26"/>
  <c r="B11" i="26"/>
  <c r="H9" i="26"/>
  <c r="G9" i="26"/>
  <c r="F9" i="26"/>
  <c r="E9" i="26"/>
  <c r="D9" i="26"/>
  <c r="C9" i="26"/>
  <c r="B9" i="26"/>
  <c r="H7" i="26"/>
  <c r="F7" i="26"/>
  <c r="E7" i="26"/>
  <c r="D7" i="26"/>
  <c r="C7" i="26"/>
  <c r="B7" i="26"/>
  <c r="H5" i="26"/>
  <c r="G5" i="26"/>
  <c r="F5" i="26"/>
  <c r="E5" i="26"/>
  <c r="D5" i="26"/>
  <c r="C5" i="26"/>
  <c r="B5" i="26"/>
  <c r="H3" i="26"/>
  <c r="G3" i="26"/>
  <c r="F3" i="26"/>
  <c r="E3" i="26"/>
  <c r="D3" i="26"/>
  <c r="C3" i="26"/>
  <c r="B3" i="26"/>
  <c r="B1" i="26"/>
  <c r="B13" i="25"/>
  <c r="H11" i="25"/>
  <c r="G11" i="25"/>
  <c r="F11" i="25"/>
  <c r="E11" i="25"/>
  <c r="D11" i="25"/>
  <c r="C11" i="25"/>
  <c r="B11" i="25"/>
  <c r="H9" i="25"/>
  <c r="G9" i="25"/>
  <c r="F9" i="25"/>
  <c r="E9" i="25"/>
  <c r="D9" i="25"/>
  <c r="C9" i="25"/>
  <c r="B9" i="25"/>
  <c r="H7" i="25"/>
  <c r="G7" i="25"/>
  <c r="F7" i="25"/>
  <c r="E7" i="25"/>
  <c r="D7" i="25"/>
  <c r="C7" i="25"/>
  <c r="B7" i="25"/>
  <c r="H5" i="25"/>
  <c r="G5" i="25"/>
  <c r="F5" i="25"/>
  <c r="E5" i="25"/>
  <c r="D5" i="25"/>
  <c r="C5" i="25"/>
  <c r="B5" i="25"/>
  <c r="H3" i="25"/>
  <c r="G3" i="25"/>
  <c r="F3" i="25"/>
  <c r="E3" i="25"/>
  <c r="D3" i="25"/>
  <c r="C3" i="25"/>
  <c r="B3" i="25"/>
  <c r="B1" i="25"/>
  <c r="C13" i="24"/>
  <c r="B13" i="24"/>
  <c r="H11" i="24"/>
  <c r="G11" i="24"/>
  <c r="F11" i="24"/>
  <c r="E11" i="24"/>
  <c r="D11" i="24"/>
  <c r="C11" i="24"/>
  <c r="B11" i="24"/>
  <c r="H9" i="24"/>
  <c r="G9" i="24"/>
  <c r="F9" i="24"/>
  <c r="E9" i="24"/>
  <c r="D9" i="24"/>
  <c r="C9" i="24"/>
  <c r="B9" i="24"/>
  <c r="H7" i="24"/>
  <c r="G7" i="24"/>
  <c r="F7" i="24"/>
  <c r="E7" i="24"/>
  <c r="D7" i="24"/>
  <c r="C7" i="24"/>
  <c r="B7" i="24"/>
  <c r="H5" i="24"/>
  <c r="G5" i="24"/>
  <c r="F5" i="24"/>
  <c r="E5" i="24"/>
  <c r="D5" i="24"/>
  <c r="C5" i="24"/>
  <c r="B5" i="24"/>
  <c r="H3" i="24"/>
  <c r="G3" i="24"/>
  <c r="F3" i="24"/>
  <c r="E3" i="24"/>
  <c r="D3" i="24"/>
  <c r="C3" i="24"/>
  <c r="B3" i="24"/>
  <c r="B1" i="24"/>
  <c r="B13" i="22"/>
  <c r="H11" i="22"/>
  <c r="G11" i="22"/>
  <c r="F11" i="22"/>
  <c r="E11" i="22"/>
  <c r="D11" i="22"/>
  <c r="C11" i="22"/>
  <c r="B11" i="22"/>
  <c r="H9" i="22"/>
  <c r="G9" i="22"/>
  <c r="F9" i="22"/>
  <c r="E9" i="22"/>
  <c r="D9" i="22"/>
  <c r="C9" i="22"/>
  <c r="B9" i="22"/>
  <c r="H7" i="22"/>
  <c r="G7" i="22"/>
  <c r="F7" i="22"/>
  <c r="E7" i="22"/>
  <c r="D7" i="22"/>
  <c r="C7" i="22"/>
  <c r="B7" i="22"/>
  <c r="H5" i="22"/>
  <c r="G5" i="22"/>
  <c r="F5" i="22"/>
  <c r="E5" i="22"/>
  <c r="D5" i="22"/>
  <c r="C5" i="22"/>
  <c r="B5" i="22"/>
  <c r="H3" i="22"/>
  <c r="G3" i="22"/>
  <c r="F3" i="22"/>
  <c r="E3" i="22"/>
  <c r="D3" i="22"/>
  <c r="C3" i="22"/>
  <c r="B3" i="22"/>
  <c r="B1" i="22"/>
  <c r="H11" i="19"/>
  <c r="G11" i="19"/>
  <c r="F11" i="19"/>
  <c r="E11" i="19"/>
  <c r="D11" i="19"/>
  <c r="C11" i="19"/>
  <c r="B11" i="19"/>
  <c r="H9" i="19"/>
  <c r="G9" i="19"/>
  <c r="F9" i="19"/>
  <c r="E9" i="19"/>
  <c r="D9" i="19"/>
  <c r="C9" i="19"/>
  <c r="B9" i="19"/>
  <c r="H7" i="19"/>
  <c r="G7" i="19"/>
  <c r="F7" i="19"/>
  <c r="E7" i="19"/>
  <c r="D7" i="19"/>
  <c r="C7" i="19"/>
  <c r="B7" i="19"/>
  <c r="H5" i="19"/>
  <c r="G5" i="19"/>
  <c r="F5" i="19"/>
  <c r="E5" i="19"/>
  <c r="D5" i="19"/>
  <c r="C5" i="19"/>
  <c r="B5" i="19"/>
  <c r="H3" i="19"/>
  <c r="G3" i="19"/>
  <c r="F3" i="19"/>
  <c r="E3" i="19"/>
  <c r="D3" i="19"/>
  <c r="C3" i="19"/>
  <c r="B3" i="19"/>
  <c r="C13" i="20"/>
  <c r="B13" i="20"/>
  <c r="H11" i="20"/>
  <c r="G11" i="20"/>
  <c r="F11" i="20"/>
  <c r="E11" i="20"/>
  <c r="D11" i="20"/>
  <c r="C11" i="20"/>
  <c r="B11" i="20"/>
  <c r="H9" i="20"/>
  <c r="G9" i="20"/>
  <c r="F9" i="20"/>
  <c r="E9" i="20"/>
  <c r="D9" i="20"/>
  <c r="C9" i="20"/>
  <c r="B9" i="20"/>
  <c r="H7" i="20"/>
  <c r="G7" i="20"/>
  <c r="F7" i="20"/>
  <c r="E7" i="20"/>
  <c r="D7" i="20"/>
  <c r="C7" i="20"/>
  <c r="B7" i="20"/>
  <c r="H5" i="20"/>
  <c r="G5" i="20"/>
  <c r="F5" i="20"/>
  <c r="E5" i="20"/>
  <c r="D5" i="20"/>
  <c r="C5" i="20"/>
  <c r="B5" i="20"/>
  <c r="H3" i="20"/>
  <c r="G3" i="20"/>
  <c r="F3" i="20"/>
  <c r="E3" i="20"/>
  <c r="D3" i="20"/>
  <c r="C3" i="20"/>
  <c r="B3" i="20"/>
  <c r="B1" i="20"/>
  <c r="B1" i="19"/>
  <c r="C13" i="14"/>
  <c r="B13" i="14"/>
  <c r="H11" i="14"/>
  <c r="G11" i="14"/>
  <c r="F11" i="14"/>
  <c r="E11" i="14"/>
  <c r="D11" i="14"/>
  <c r="C11" i="14"/>
  <c r="B11" i="14"/>
  <c r="H9" i="14"/>
  <c r="G9" i="14"/>
  <c r="F9" i="14"/>
  <c r="E9" i="14"/>
  <c r="D9" i="14"/>
  <c r="B9" i="14"/>
  <c r="C9" i="14"/>
  <c r="H7" i="14"/>
  <c r="G7" i="14"/>
  <c r="F7" i="14"/>
  <c r="E7" i="14"/>
  <c r="D7" i="14"/>
  <c r="C7" i="14"/>
  <c r="B7" i="14"/>
  <c r="H5" i="14"/>
  <c r="G5" i="14"/>
  <c r="F5" i="14"/>
  <c r="E5" i="14"/>
  <c r="D5" i="14"/>
  <c r="C5" i="14"/>
  <c r="B5" i="14"/>
  <c r="F3" i="14"/>
  <c r="B3" i="14"/>
  <c r="H3" i="14"/>
  <c r="G3" i="14"/>
  <c r="E3" i="14"/>
  <c r="D3" i="14"/>
  <c r="C3" i="14"/>
</calcChain>
</file>

<file path=xl/comments1.xml><?xml version="1.0" encoding="utf-8"?>
<comments xmlns="http://schemas.openxmlformats.org/spreadsheetml/2006/main">
  <authors>
    <author xml:space="preserve">   </author>
  </authors>
  <commentList>
    <comment ref="J4" authorId="0" shapeId="0">
      <text>
        <r>
          <rPr>
            <b/>
            <sz val="9"/>
            <color indexed="81"/>
            <rFont val="Geneva"/>
          </rPr>
          <t>When you click in the cell that displays the year above, you see a pop-up list of years from which to select. When you make a selection, the calendar sheets for all months in this workbook automatically update.
To change the available years in that list, see the Lookup List sheet.
Note: Formulas exist in all cells that display dates as well as those that appear blank within the calendar cells of rows that contain date values, in order for the calendar to update automatically.  If you manually change the text in those cells, the calendar will no longer be able to update automatically.
You can, however, type text in the taller cells beneath each date cell, such as where you see 'Sample text' written in the first available taller cell in this calendar.</t>
        </r>
      </text>
    </comment>
    <comment ref="J11" authorId="0" shapeId="0">
      <text>
        <r>
          <rPr>
            <b/>
            <sz val="9"/>
            <color indexed="81"/>
            <rFont val="Geneva"/>
          </rPr>
          <t>Easily apply your own look to this calendar. This template is formatted using themes that enable you to apply fonts, colors, and graphic formatting effects throughout the workbook with just a click.
Find themes on the Home tab, in the Themes group. Select from dozens of built-in themes available in the Themes gallery or find options to change just the theme fonts or theme colors.</t>
        </r>
      </text>
    </comment>
  </commentList>
</comments>
</file>

<file path=xl/comments2.xml><?xml version="1.0" encoding="utf-8"?>
<comments xmlns="http://schemas.openxmlformats.org/spreadsheetml/2006/main">
  <authors>
    <author xml:space="preserve">   </author>
  </authors>
  <commentList>
    <comment ref="C4" authorId="0" shapeId="0">
      <text>
        <r>
          <rPr>
            <b/>
            <sz val="9"/>
            <color indexed="81"/>
            <rFont val="Geneva"/>
          </rPr>
          <t>This list populates the options that appear in the pop-up list for the year on the January sheet. To add additional years, begin typing in the cell directly beneath the last existing entry and the list will automatically expand.</t>
        </r>
      </text>
    </comment>
  </commentList>
</comments>
</file>

<file path=xl/sharedStrings.xml><?xml version="1.0" encoding="utf-8"?>
<sst xmlns="http://schemas.openxmlformats.org/spreadsheetml/2006/main" count="219" uniqueCount="133">
  <si>
    <t>Sunday</t>
  </si>
  <si>
    <t>Monday</t>
  </si>
  <si>
    <t>Tuesday</t>
  </si>
  <si>
    <t>Wednesday</t>
  </si>
  <si>
    <t>Thursday</t>
  </si>
  <si>
    <t>Friday</t>
  </si>
  <si>
    <t>Saturday</t>
  </si>
  <si>
    <t>Year</t>
  </si>
  <si>
    <t>Notes:</t>
  </si>
  <si>
    <t>Notes</t>
  </si>
  <si>
    <t>Select
Year:</t>
  </si>
  <si>
    <t>Sample text.</t>
  </si>
  <si>
    <t xml:space="preserve">180492 - M - Steiner Genève
180512 - L - Matin &amp; Co
180461 - R - Marti Construction
180518 - R - Orllati </t>
  </si>
  <si>
    <t>180337 - M - Frutiger Grindelwald</t>
  </si>
  <si>
    <t>SAV 180032 - M - Alho - BE</t>
  </si>
  <si>
    <r>
      <t xml:space="preserve">180451 - M - Riedo - BE
</t>
    </r>
    <r>
      <rPr>
        <sz val="10"/>
        <color rgb="FF0070C0"/>
        <rFont val="Century Gothic"/>
        <family val="2"/>
        <scheme val="minor"/>
      </rPr>
      <t>180520 - R - Marti
180531 - R - Josef Wiederkehr
180519 - R - Widmer
180532 - R - Marti
180509 - R - MGC</t>
    </r>
    <r>
      <rPr>
        <sz val="10"/>
        <color rgb="FF0070C0"/>
        <rFont val="Century Gothic"/>
        <family val="2"/>
        <scheme val="minor"/>
      </rPr>
      <t xml:space="preserve">
</t>
    </r>
  </si>
  <si>
    <r>
      <t xml:space="preserve">
336 - SAV - Frutiger - BE</t>
    </r>
    <r>
      <rPr>
        <sz val="10"/>
        <rFont val="Century Gothic"/>
        <family val="2"/>
        <scheme val="minor"/>
      </rPr>
      <t xml:space="preserve">
1509 - 1519 - 1540 Landi</t>
    </r>
    <r>
      <rPr>
        <sz val="10"/>
        <color rgb="FFFF0000"/>
        <rFont val="Century Gothic"/>
        <family val="2"/>
        <scheme val="minor"/>
      </rPr>
      <t xml:space="preserve">
</t>
    </r>
    <r>
      <rPr>
        <sz val="10"/>
        <color rgb="FF00B050"/>
        <rFont val="Century Gothic"/>
        <family val="2"/>
        <scheme val="minor"/>
      </rPr>
      <t>180491 - L - Orllati - VD</t>
    </r>
    <r>
      <rPr>
        <sz val="10"/>
        <color rgb="FFFF0000"/>
        <rFont val="Century Gothic"/>
        <family val="2"/>
        <scheme val="minor"/>
      </rPr>
      <t xml:space="preserve">
</t>
    </r>
    <r>
      <rPr>
        <sz val="10"/>
        <color rgb="FF00B050"/>
        <rFont val="Century Gothic"/>
        <family val="2"/>
        <scheme val="minor"/>
      </rPr>
      <t xml:space="preserve">180530 - L - Maulini - GE
180540 - L - Marti Tunnel - GE
180494 - L - Implenia - GE
</t>
    </r>
    <r>
      <rPr>
        <sz val="10"/>
        <color rgb="FFFF0000"/>
        <rFont val="Century Gothic"/>
        <family val="2"/>
        <scheme val="minor"/>
      </rPr>
      <t xml:space="preserve">180495 - M - Losinger - GE
</t>
    </r>
    <r>
      <rPr>
        <sz val="10"/>
        <rFont val="Century Gothic"/>
        <family val="2"/>
        <scheme val="minor"/>
      </rPr>
      <t xml:space="preserve">1530 - Coldtec
</t>
    </r>
    <r>
      <rPr>
        <sz val="10"/>
        <color rgb="FF0070C0"/>
        <rFont val="Century Gothic"/>
        <family val="2"/>
        <scheme val="minor"/>
      </rPr>
      <t xml:space="preserve">180523 - R - Ecole Sofia
</t>
    </r>
    <r>
      <rPr>
        <sz val="10"/>
        <color rgb="FF7030A0"/>
        <rFont val="Century Gothic"/>
        <family val="2"/>
        <scheme val="minor"/>
      </rPr>
      <t xml:space="preserve">180541 - F - Perret
180543 - F - Grisoni
180546 - F - Bollini
180547 - F - Marti
</t>
    </r>
    <r>
      <rPr>
        <sz val="10"/>
        <color rgb="FF00B050"/>
        <rFont val="Century Gothic"/>
        <family val="2"/>
        <scheme val="minor"/>
      </rPr>
      <t>180383 - L - HRS - VD
180493 - L - Metraux - VD
180552 - 180555 - 180466 - L - Membrez - VD</t>
    </r>
    <r>
      <rPr>
        <sz val="10"/>
        <rFont val="Century Gothic"/>
        <family val="2"/>
        <scheme val="minor"/>
      </rPr>
      <t xml:space="preserve">
</t>
    </r>
  </si>
  <si>
    <r>
      <rPr>
        <sz val="10"/>
        <color rgb="FFFF0000"/>
        <rFont val="Century Gothic"/>
        <family val="2"/>
        <scheme val="minor"/>
      </rPr>
      <t>180451 - M - Riedo - BE</t>
    </r>
    <r>
      <rPr>
        <sz val="10"/>
        <rFont val="Century Gothic"/>
        <family val="2"/>
        <scheme val="minor"/>
      </rPr>
      <t xml:space="preserve">
1448 - 1459 - Mades</t>
    </r>
  </si>
  <si>
    <r>
      <rPr>
        <sz val="10"/>
        <color rgb="FFFF0000"/>
        <rFont val="Century Gothic"/>
        <family val="2"/>
        <scheme val="minor"/>
      </rPr>
      <t>180451 - M - Riedo - BE</t>
    </r>
    <r>
      <rPr>
        <sz val="10"/>
        <color theme="1" tint="0.249977111117893"/>
        <rFont val="Century Gothic"/>
        <family val="2"/>
        <scheme val="minor"/>
      </rPr>
      <t xml:space="preserve">
1478-1484-1485-1449-1488-1503-1477 - SAV Narbutas 
</t>
    </r>
    <r>
      <rPr>
        <sz val="10"/>
        <color rgb="FF00B050"/>
        <rFont val="Century Gothic"/>
        <family val="2"/>
        <scheme val="minor"/>
      </rPr>
      <t>180548 - L - Balassiano - VD</t>
    </r>
    <r>
      <rPr>
        <b/>
        <sz val="10"/>
        <color rgb="FFFF0000"/>
        <rFont val="Century Gothic"/>
        <family val="2"/>
        <scheme val="minor"/>
      </rPr>
      <t xml:space="preserve"> (16h)</t>
    </r>
    <r>
      <rPr>
        <sz val="10"/>
        <color rgb="FF00B050"/>
        <rFont val="Century Gothic"/>
        <family val="2"/>
        <scheme val="minor"/>
      </rPr>
      <t xml:space="preserve">
180464 - L - Meloni - FR
180550 - L - JPF - FR
180485 - L - Membrez - VD
180549 - L - Membrez - VD
180556 - L - Discopar - VD
180526 - L - Frutiger - VD
</t>
    </r>
    <r>
      <rPr>
        <sz val="10"/>
        <rFont val="Century Gothic"/>
        <family val="2"/>
        <scheme val="minor"/>
      </rPr>
      <t>1515 - Duplirex
1542 - Prodega
RETRIPA</t>
    </r>
    <r>
      <rPr>
        <sz val="10"/>
        <color theme="1" tint="0.249977111117893"/>
        <rFont val="Century Gothic"/>
        <family val="2"/>
        <scheme val="minor"/>
      </rPr>
      <t xml:space="preserve">
</t>
    </r>
    <r>
      <rPr>
        <sz val="10"/>
        <color rgb="FF0070C0"/>
        <rFont val="Century Gothic"/>
        <family val="2"/>
        <scheme val="minor"/>
      </rPr>
      <t>180527 - R - Marti</t>
    </r>
  </si>
  <si>
    <r>
      <t xml:space="preserve">180536 - L - Marti - GE
180537 - L - Marti - GE
180446 - L - Equip. Pro - GE
180544 - L - Maulini - GE
180545 - L - Implenia - GE
180551 - L - Membrez - VD
</t>
    </r>
    <r>
      <rPr>
        <sz val="10"/>
        <color theme="1"/>
        <rFont val="Century Gothic"/>
        <family val="2"/>
        <scheme val="minor"/>
      </rPr>
      <t>1536 - Landi</t>
    </r>
    <r>
      <rPr>
        <sz val="10"/>
        <color rgb="FF00B050"/>
        <rFont val="Century Gothic"/>
        <family val="2"/>
        <scheme val="minor"/>
      </rPr>
      <t xml:space="preserve">
180376 - L - Dantas - VS</t>
    </r>
    <r>
      <rPr>
        <b/>
        <sz val="10"/>
        <color rgb="FFFF0000"/>
        <rFont val="Century Gothic"/>
        <family val="2"/>
        <scheme val="minor"/>
      </rPr>
      <t xml:space="preserve"> (fix 10h !!!!!!!)</t>
    </r>
    <r>
      <rPr>
        <sz val="10"/>
        <color rgb="FF00B050"/>
        <rFont val="Century Gothic"/>
        <family val="2"/>
        <scheme val="minor"/>
      </rPr>
      <t xml:space="preserve">
SAV 180441 - L - Amb. Clerc - VD
337 - SAV - RCTech - VD
</t>
    </r>
    <r>
      <rPr>
        <sz val="10"/>
        <color rgb="FFFF0000"/>
        <rFont val="Century Gothic"/>
        <family val="2"/>
        <scheme val="minor"/>
      </rPr>
      <t xml:space="preserve">180511 - M1 - Comm. Aigle - VD
180460 - M1 - ARGE - VS
</t>
    </r>
    <r>
      <rPr>
        <sz val="10"/>
        <color rgb="FF00B050"/>
        <rFont val="Century Gothic"/>
        <family val="2"/>
        <scheme val="minor"/>
      </rPr>
      <t xml:space="preserve">
</t>
    </r>
  </si>
  <si>
    <r>
      <t xml:space="preserve">180573 - M1 - Marti - VD
180406 - M1 - Raiffeisen - VD
180319 - M1 - Mino - VD
</t>
    </r>
    <r>
      <rPr>
        <sz val="10"/>
        <color rgb="FF00B050"/>
        <rFont val="Century Gothic"/>
        <family val="2"/>
        <scheme val="minor"/>
      </rPr>
      <t xml:space="preserve">180566 - L - Camandona - VD
180567 - L - Zed - VD
180568 - L - Zed - VD
180569 - L - Martin - VD
180554 - L - Colas - VD
180578 - L - Frutiger -VD
</t>
    </r>
    <r>
      <rPr>
        <sz val="10"/>
        <rFont val="Century Gothic"/>
        <family val="2"/>
        <scheme val="minor"/>
      </rPr>
      <t>Retripa</t>
    </r>
    <r>
      <rPr>
        <sz val="10"/>
        <color rgb="FF00B050"/>
        <rFont val="Century Gothic"/>
        <family val="2"/>
        <scheme val="minor"/>
      </rPr>
      <t xml:space="preserve">
</t>
    </r>
  </si>
  <si>
    <r>
      <t xml:space="preserve">180473 - M4 - Steiner - VD
</t>
    </r>
    <r>
      <rPr>
        <sz val="10"/>
        <color rgb="FF7030A0"/>
        <rFont val="Century Gothic"/>
        <family val="2"/>
        <scheme val="minor"/>
      </rPr>
      <t xml:space="preserve">180454 - F - ECM
</t>
    </r>
    <r>
      <rPr>
        <sz val="10"/>
        <color rgb="FF0070C0"/>
        <rFont val="Century Gothic"/>
        <family val="2"/>
        <scheme val="minor"/>
      </rPr>
      <t>180433 - R - Birchmeier
180579 - R - Widmer</t>
    </r>
    <r>
      <rPr>
        <sz val="10"/>
        <color rgb="FFFF0000"/>
        <rFont val="Century Gothic"/>
        <family val="2"/>
        <scheme val="minor"/>
      </rPr>
      <t xml:space="preserve">
</t>
    </r>
  </si>
  <si>
    <r>
      <t xml:space="preserve">180451 - M4 - Riedo - BE
180565 - M1 - Alho - LU
</t>
    </r>
    <r>
      <rPr>
        <sz val="10"/>
        <color rgb="FF00B050"/>
        <rFont val="Century Gothic"/>
        <family val="2"/>
        <scheme val="minor"/>
      </rPr>
      <t xml:space="preserve">180563 - L - Alho - LU
</t>
    </r>
    <r>
      <rPr>
        <sz val="10"/>
        <color rgb="FF0070C0"/>
        <rFont val="Century Gothic"/>
        <family val="2"/>
        <scheme val="minor"/>
      </rPr>
      <t>180592 - R - Bosson
180594 - R - Orllati</t>
    </r>
  </si>
  <si>
    <t>180603 - M1 - Losinger - AG</t>
  </si>
  <si>
    <r>
      <rPr>
        <sz val="10"/>
        <rFont val="Century Gothic"/>
        <family val="2"/>
        <scheme val="minor"/>
      </rPr>
      <t xml:space="preserve">RETRIPA
</t>
    </r>
    <r>
      <rPr>
        <sz val="10"/>
        <color rgb="FF00B050"/>
        <rFont val="Century Gothic"/>
        <family val="2"/>
        <scheme val="minor"/>
      </rPr>
      <t xml:space="preserve">180535 - L - Frutiger - VD
180589 - L - Grisoni - FR
</t>
    </r>
    <r>
      <rPr>
        <sz val="10"/>
        <color rgb="FFFF0000"/>
        <rFont val="Century Gothic"/>
        <family val="2"/>
        <scheme val="minor"/>
      </rPr>
      <t>180591 - M - Losinger - GE</t>
    </r>
    <r>
      <rPr>
        <sz val="10"/>
        <color rgb="FF00B050"/>
        <rFont val="Century Gothic"/>
        <family val="2"/>
        <scheme val="minor"/>
      </rPr>
      <t xml:space="preserve">
</t>
    </r>
    <r>
      <rPr>
        <sz val="10"/>
        <color rgb="FF7030A0"/>
        <rFont val="Century Gothic"/>
        <family val="2"/>
        <scheme val="minor"/>
      </rPr>
      <t xml:space="preserve">180597 - F - Minedor
</t>
    </r>
    <r>
      <rPr>
        <sz val="10"/>
        <color rgb="FF0070C0"/>
        <rFont val="Century Gothic"/>
        <family val="2"/>
        <scheme val="minor"/>
      </rPr>
      <t>180571 - R - Frutiger
180572 - R - Frutiger</t>
    </r>
    <r>
      <rPr>
        <sz val="10"/>
        <color rgb="FF00B050"/>
        <rFont val="Century Gothic"/>
        <family val="2"/>
        <scheme val="minor"/>
      </rPr>
      <t xml:space="preserve">
</t>
    </r>
  </si>
  <si>
    <r>
      <rPr>
        <sz val="10"/>
        <color rgb="FF0070C0"/>
        <rFont val="Century Gothic"/>
        <family val="2"/>
        <scheme val="minor"/>
      </rPr>
      <t>180602 - R - Frutiger
180592 - R - Bosson</t>
    </r>
    <r>
      <rPr>
        <sz val="10"/>
        <color rgb="FF00B050"/>
        <rFont val="Century Gothic"/>
        <family val="2"/>
        <scheme val="minor"/>
      </rPr>
      <t xml:space="preserve">
180556 - L - Discopar - VD
180560 - L - Piasio - GE
</t>
    </r>
    <r>
      <rPr>
        <sz val="10"/>
        <color rgb="FF7030A0"/>
        <rFont val="Century Gothic"/>
        <family val="2"/>
        <scheme val="minor"/>
      </rPr>
      <t xml:space="preserve">180600 - F - Perret
180606 - F - Tellco
180609 - F - HRS
</t>
    </r>
    <r>
      <rPr>
        <sz val="10"/>
        <rFont val="Century Gothic"/>
        <family val="2"/>
        <scheme val="minor"/>
      </rPr>
      <t>RETRIPA</t>
    </r>
  </si>
  <si>
    <r>
      <t xml:space="preserve">180378 - 180513 - M4 - Halter - GE
</t>
    </r>
    <r>
      <rPr>
        <sz val="10"/>
        <color rgb="FF0070C0"/>
        <rFont val="Century Gothic"/>
        <family val="2"/>
        <scheme val="minor"/>
      </rPr>
      <t xml:space="preserve">180599 - L - Orllati
</t>
    </r>
    <r>
      <rPr>
        <sz val="10"/>
        <color rgb="FF00B050"/>
        <rFont val="Century Gothic"/>
        <family val="2"/>
        <scheme val="minor"/>
      </rPr>
      <t xml:space="preserve">180584 - L - Maulini - GE
180575 - L - Perret - GE
</t>
    </r>
  </si>
  <si>
    <r>
      <t xml:space="preserve">180586 - M2 - Steiner - GE
335 - SAV1 - Galenicare - GE
</t>
    </r>
    <r>
      <rPr>
        <sz val="10"/>
        <color rgb="FF7030A0"/>
        <rFont val="Century Gothic"/>
        <family val="2"/>
        <scheme val="minor"/>
      </rPr>
      <t>180610 - F - Piasio</t>
    </r>
    <r>
      <rPr>
        <sz val="10"/>
        <color rgb="FF00B050"/>
        <rFont val="Century Gothic"/>
        <family val="2"/>
        <scheme val="minor"/>
      </rPr>
      <t xml:space="preserve">
180601 - L - Orllati - VD
180614 - L - Camandona - VD</t>
    </r>
    <r>
      <rPr>
        <sz val="10"/>
        <color rgb="FFFF0000"/>
        <rFont val="Century Gothic"/>
        <family val="2"/>
        <scheme val="minor"/>
      </rPr>
      <t xml:space="preserve">
</t>
    </r>
  </si>
  <si>
    <r>
      <t xml:space="preserve">180616 - L - Maulini - GE </t>
    </r>
    <r>
      <rPr>
        <sz val="10"/>
        <color rgb="FFFF0000"/>
        <rFont val="Century Gothic"/>
        <family val="2"/>
        <scheme val="minor"/>
      </rPr>
      <t xml:space="preserve">prioritaire
</t>
    </r>
    <r>
      <rPr>
        <sz val="10"/>
        <color rgb="FF00B050"/>
        <rFont val="Century Gothic"/>
        <family val="2"/>
        <scheme val="minor"/>
      </rPr>
      <t xml:space="preserve">180588 - L - HRS - GE
</t>
    </r>
    <r>
      <rPr>
        <sz val="10"/>
        <color rgb="FF0070C0"/>
        <rFont val="Century Gothic"/>
        <family val="2"/>
        <scheme val="minor"/>
      </rPr>
      <t>180581 - R - Jaggi
180582 - R - Jaggi
180583 - R - Jaggi
180612 - R - Stirnimann</t>
    </r>
  </si>
  <si>
    <t>180309 - M2 - Boxplay - VD
340 - SAV1 - Boxplay - VD
180620 - M1 - Boplay - VD</t>
  </si>
  <si>
    <t>Férié</t>
  </si>
  <si>
    <r>
      <t xml:space="preserve">180470 - M2 - FAGSI - SZ
</t>
    </r>
    <r>
      <rPr>
        <sz val="10"/>
        <color theme="1"/>
        <rFont val="Century Gothic"/>
        <family val="2"/>
        <scheme val="minor"/>
      </rPr>
      <t xml:space="preserve">BETRIEB - 1531 - 1541 - 1547
</t>
    </r>
    <r>
      <rPr>
        <sz val="10"/>
        <color rgb="FF00B050"/>
        <rFont val="Century Gothic"/>
        <family val="2"/>
        <scheme val="minor"/>
      </rPr>
      <t>180560 - L - Membrez - VD</t>
    </r>
    <r>
      <rPr>
        <sz val="10"/>
        <color theme="1"/>
        <rFont val="Century Gothic"/>
        <family val="2"/>
        <scheme val="minor"/>
      </rPr>
      <t xml:space="preserve">
</t>
    </r>
    <r>
      <rPr>
        <sz val="10"/>
        <color rgb="FF0070C0"/>
        <rFont val="Century Gothic"/>
        <family val="2"/>
        <scheme val="minor"/>
      </rPr>
      <t>180533 - R - Masciadri</t>
    </r>
  </si>
  <si>
    <r>
      <rPr>
        <sz val="10"/>
        <color rgb="FFFF0000"/>
        <rFont val="Century Gothic"/>
        <family val="2"/>
        <scheme val="minor"/>
      </rPr>
      <t xml:space="preserve">180608 - M2 - Steiner - VD
</t>
    </r>
    <r>
      <rPr>
        <sz val="10"/>
        <color rgb="FF00B050"/>
        <rFont val="Century Gothic"/>
        <family val="2"/>
        <scheme val="minor"/>
      </rPr>
      <t>180628 - L - Perrin - VD</t>
    </r>
    <r>
      <rPr>
        <sz val="10"/>
        <color rgb="FFFF0000"/>
        <rFont val="Century Gothic"/>
        <family val="2"/>
        <scheme val="minor"/>
      </rPr>
      <t xml:space="preserve">
180619 - M1 - HRS - GE</t>
    </r>
    <r>
      <rPr>
        <sz val="10"/>
        <color rgb="FF00B050"/>
        <rFont val="Century Gothic"/>
        <family val="2"/>
        <scheme val="minor"/>
      </rPr>
      <t xml:space="preserve">
342 - SAV - Maulini - GE
180622 - L - Marti - GE
</t>
    </r>
    <r>
      <rPr>
        <sz val="10"/>
        <color rgb="FF7030A0"/>
        <rFont val="Century Gothic"/>
        <family val="2"/>
        <scheme val="minor"/>
      </rPr>
      <t xml:space="preserve">180593 - F - Marti
180618 - F - Piasio
</t>
    </r>
    <r>
      <rPr>
        <sz val="10"/>
        <color rgb="FFFF0000"/>
        <rFont val="Century Gothic"/>
        <family val="2"/>
        <scheme val="minor"/>
      </rPr>
      <t>180559 - M1 - Ecole Sofia - VD</t>
    </r>
  </si>
  <si>
    <r>
      <t xml:space="preserve">180237 - 180421 - M2 - Ecole M. - VS
</t>
    </r>
    <r>
      <rPr>
        <sz val="10"/>
        <color rgb="FF0070C0"/>
        <rFont val="Century Gothic"/>
        <family val="2"/>
        <scheme val="minor"/>
      </rPr>
      <t>43 - R - Milliquet</t>
    </r>
    <r>
      <rPr>
        <sz val="10"/>
        <color rgb="FFFF0000"/>
        <rFont val="Century Gothic"/>
        <family val="2"/>
        <scheme val="minor"/>
      </rPr>
      <t xml:space="preserve">
</t>
    </r>
    <r>
      <rPr>
        <sz val="10"/>
        <color theme="1"/>
        <rFont val="Century Gothic"/>
        <family val="2"/>
        <scheme val="minor"/>
      </rPr>
      <t>1516 - Antares séparer les 2 types de chaises et rajouter les accoudoirs.
Réparer retroviseur MERCEDES</t>
    </r>
  </si>
  <si>
    <r>
      <rPr>
        <sz val="10"/>
        <color rgb="FFFF0000"/>
        <rFont val="Century Gothic"/>
        <family val="2"/>
        <scheme val="minor"/>
      </rPr>
      <t xml:space="preserve">180387 - M2 - Implenia - VD
345 - M2 - Implenia - VD
</t>
    </r>
    <r>
      <rPr>
        <sz val="10"/>
        <color rgb="FF00B050"/>
        <rFont val="Century Gothic"/>
        <family val="2"/>
        <scheme val="minor"/>
      </rPr>
      <t xml:space="preserve">180585 - L - BCO - VD
</t>
    </r>
    <r>
      <rPr>
        <sz val="10"/>
        <color rgb="FFFF0000"/>
        <rFont val="Century Gothic"/>
        <family val="2"/>
        <scheme val="minor"/>
      </rPr>
      <t>180508 - M2 - Marti - VD</t>
    </r>
    <r>
      <rPr>
        <sz val="10"/>
        <color theme="1" tint="0.249977111117893"/>
        <rFont val="Century Gothic"/>
        <family val="2"/>
        <scheme val="minor"/>
      </rPr>
      <t xml:space="preserve">
7.30 - VW - AMAG - PNEUS - SERVICE
</t>
    </r>
    <r>
      <rPr>
        <sz val="10"/>
        <color rgb="FF0070C0"/>
        <rFont val="Century Gothic"/>
        <family val="2"/>
        <scheme val="minor"/>
      </rPr>
      <t xml:space="preserve">44 - R - Gonçalves
180570 - R - Jaggi+Hafter
</t>
    </r>
  </si>
  <si>
    <r>
      <rPr>
        <sz val="10"/>
        <color rgb="FF00B050"/>
        <rFont val="Century Gothic"/>
        <family val="2"/>
        <scheme val="minor"/>
      </rPr>
      <t>180630 - L - Frutiger - BE</t>
    </r>
    <r>
      <rPr>
        <sz val="10"/>
        <color rgb="FFFF0000"/>
        <rFont val="Century Gothic"/>
        <family val="2"/>
        <scheme val="minor"/>
      </rPr>
      <t xml:space="preserve">
180423 - M1 - Losinger - LU
</t>
    </r>
    <r>
      <rPr>
        <sz val="10"/>
        <rFont val="Century Gothic"/>
        <family val="2"/>
        <scheme val="minor"/>
      </rPr>
      <t>1572 LANDI</t>
    </r>
    <r>
      <rPr>
        <sz val="10"/>
        <color rgb="FFFF0000"/>
        <rFont val="Century Gothic"/>
        <family val="2"/>
        <scheme val="minor"/>
      </rPr>
      <t xml:space="preserve">
344 - SAV - RIEDO - FR</t>
    </r>
  </si>
  <si>
    <r>
      <rPr>
        <sz val="10"/>
        <rFont val="Century Gothic"/>
        <family val="2"/>
        <scheme val="minor"/>
      </rPr>
      <t xml:space="preserve">1550 MOBIKA
</t>
    </r>
    <r>
      <rPr>
        <sz val="10"/>
        <color rgb="FF0070C0"/>
        <rFont val="Century Gothic"/>
        <family val="2"/>
        <scheme val="minor"/>
      </rPr>
      <t>180647 - R - SEMO</t>
    </r>
    <r>
      <rPr>
        <sz val="10"/>
        <color rgb="FFFF0000"/>
        <rFont val="Century Gothic"/>
        <family val="2"/>
        <scheme val="minor"/>
      </rPr>
      <t xml:space="preserve">
180631 - M2 - ARGE - SZ
343 - SAV2 - Fagsi - BE </t>
    </r>
  </si>
  <si>
    <r>
      <rPr>
        <sz val="10"/>
        <color rgb="FFFF0000"/>
        <rFont val="Century Gothic"/>
        <family val="2"/>
        <scheme val="minor"/>
      </rPr>
      <t xml:space="preserve">180607 - M2 - Halter - VD
</t>
    </r>
    <r>
      <rPr>
        <sz val="10"/>
        <color rgb="FF7030A0"/>
        <rFont val="Century Gothic"/>
        <family val="2"/>
        <scheme val="minor"/>
      </rPr>
      <t xml:space="preserve">180564 - F - Perrin
</t>
    </r>
    <r>
      <rPr>
        <sz val="10"/>
        <color rgb="FF0070C0"/>
        <rFont val="Century Gothic"/>
        <family val="2"/>
        <scheme val="minor"/>
      </rPr>
      <t>180648 - R - AD Expertises</t>
    </r>
    <r>
      <rPr>
        <sz val="10"/>
        <color rgb="FF7030A0"/>
        <rFont val="Century Gothic"/>
        <family val="2"/>
        <scheme val="minor"/>
      </rPr>
      <t xml:space="preserve">
</t>
    </r>
    <r>
      <rPr>
        <sz val="10"/>
        <color rgb="FF00B050"/>
        <rFont val="Century Gothic"/>
        <family val="2"/>
        <scheme val="minor"/>
      </rPr>
      <t>180643 - L - Membrez
180644 - L - Membrez
180642 - L - Orllati</t>
    </r>
  </si>
  <si>
    <r>
      <rPr>
        <sz val="10"/>
        <rFont val="Century Gothic"/>
        <family val="2"/>
        <scheme val="minor"/>
      </rPr>
      <t>1589 - France Boisson</t>
    </r>
    <r>
      <rPr>
        <sz val="10"/>
        <color rgb="FF00B050"/>
        <rFont val="Century Gothic"/>
        <family val="2"/>
        <scheme val="minor"/>
      </rPr>
      <t xml:space="preserve">
180576 - L - Perrin - VD
180577 - L - Perrin - VD</t>
    </r>
    <r>
      <rPr>
        <sz val="10"/>
        <color rgb="FFFF0000"/>
        <rFont val="Century Gothic"/>
        <family val="2"/>
        <scheme val="minor"/>
      </rPr>
      <t xml:space="preserve">
180627 - M1 - Losinger - GE
180598 - M4 - Riedo - BE
</t>
    </r>
    <r>
      <rPr>
        <sz val="10"/>
        <color rgb="FF0070C0"/>
        <rFont val="Century Gothic"/>
        <family val="2"/>
        <scheme val="minor"/>
      </rPr>
      <t>180650 - R - Losinger</t>
    </r>
  </si>
  <si>
    <r>
      <rPr>
        <sz val="10"/>
        <color rgb="FF0070C0"/>
        <rFont val="Century Gothic"/>
        <family val="2"/>
        <scheme val="minor"/>
      </rPr>
      <t>180656 - R - Golf</t>
    </r>
    <r>
      <rPr>
        <sz val="10"/>
        <rFont val="Century Gothic"/>
        <family val="2"/>
        <scheme val="minor"/>
      </rPr>
      <t xml:space="preserve">
1524 - 1533 - 1545 - 1561- 1553 - Narbutas
</t>
    </r>
    <r>
      <rPr>
        <sz val="10"/>
        <color rgb="FF7030A0"/>
        <rFont val="Century Gothic"/>
        <family val="2"/>
        <scheme val="minor"/>
      </rPr>
      <t>180659 - F - Widmer</t>
    </r>
  </si>
  <si>
    <t>180450 - M2 - Comm. Aigle - VD
180607 - M2 - Halter - VD
180661 - M2 - Losinger - VD</t>
  </si>
  <si>
    <t>180598 - M6 - Riedo - BE</t>
  </si>
  <si>
    <r>
      <rPr>
        <sz val="10"/>
        <color rgb="FF0070C0"/>
        <rFont val="Century Gothic"/>
        <family val="2"/>
        <scheme val="minor"/>
      </rPr>
      <t>180598 - R - Riedo</t>
    </r>
    <r>
      <rPr>
        <sz val="10"/>
        <color rgb="FFFF0000"/>
        <rFont val="Century Gothic"/>
        <family val="2"/>
        <scheme val="minor"/>
      </rPr>
      <t xml:space="preserve">
180598 - M2 - Riedo - BE
</t>
    </r>
    <r>
      <rPr>
        <sz val="10"/>
        <color rgb="FF7030A0"/>
        <rFont val="Century Gothic"/>
        <family val="2"/>
        <scheme val="minor"/>
      </rPr>
      <t xml:space="preserve">180659 - F - Perrin
</t>
    </r>
    <r>
      <rPr>
        <sz val="10"/>
        <rFont val="Century Gothic"/>
        <family val="2"/>
        <scheme val="minor"/>
      </rPr>
      <t>1518 - Nowystil</t>
    </r>
  </si>
  <si>
    <r>
      <t xml:space="preserve">180542 - M2 - Substance - VD
180528 - M2 - NNE - VD
347 - SAV1 - NNE - VD
</t>
    </r>
    <r>
      <rPr>
        <sz val="10"/>
        <color rgb="FF0070C0"/>
        <rFont val="Century Gothic"/>
        <family val="2"/>
        <scheme val="minor"/>
      </rPr>
      <t>180667 - R - Metamoprhosis
180668 - R - Orllati</t>
    </r>
  </si>
  <si>
    <r>
      <rPr>
        <sz val="10"/>
        <color theme="1"/>
        <rFont val="Century Gothic"/>
        <family val="2"/>
        <scheme val="minor"/>
      </rPr>
      <t xml:space="preserve">1581 - LANDI
</t>
    </r>
    <r>
      <rPr>
        <sz val="10"/>
        <color rgb="FF0070C0"/>
        <rFont val="Century Gothic"/>
        <family val="2"/>
        <scheme val="minor"/>
      </rPr>
      <t xml:space="preserve">180671 - R - Orllati
</t>
    </r>
    <r>
      <rPr>
        <sz val="10"/>
        <color rgb="FF00B050"/>
        <rFont val="Century Gothic"/>
        <family val="2"/>
        <scheme val="minor"/>
      </rPr>
      <t xml:space="preserve">180605 - L - HRS - GE
180634 - L - Maulini - GE
</t>
    </r>
    <r>
      <rPr>
        <sz val="10"/>
        <color rgb="FFFF0000"/>
        <rFont val="Century Gothic"/>
        <family val="2"/>
        <scheme val="minor"/>
      </rPr>
      <t xml:space="preserve">180655 - M1 - Sofia - VD
</t>
    </r>
    <r>
      <rPr>
        <sz val="10"/>
        <color rgb="FF0070C0"/>
        <rFont val="Century Gothic"/>
        <family val="2"/>
        <scheme val="minor"/>
      </rPr>
      <t>180664 - R - Frutiger</t>
    </r>
  </si>
  <si>
    <r>
      <rPr>
        <sz val="10"/>
        <color rgb="FFFF0000"/>
        <rFont val="Century Gothic"/>
        <family val="2"/>
        <scheme val="minor"/>
      </rPr>
      <t>180637 - M2 - Steiner - GE</t>
    </r>
    <r>
      <rPr>
        <sz val="10"/>
        <color theme="1" tint="0.249977111117893"/>
        <rFont val="Century Gothic"/>
        <family val="2"/>
        <scheme val="minor"/>
      </rPr>
      <t xml:space="preserve">
BILEL ABSENT</t>
    </r>
  </si>
  <si>
    <r>
      <t xml:space="preserve">180632 - M4 - Riedo - BE
</t>
    </r>
    <r>
      <rPr>
        <sz val="10"/>
        <rFont val="Century Gothic"/>
        <family val="2"/>
        <scheme val="minor"/>
      </rPr>
      <t xml:space="preserve">BILEL ABSENT
</t>
    </r>
    <r>
      <rPr>
        <sz val="10"/>
        <color rgb="FF0070C0"/>
        <rFont val="Century Gothic"/>
        <family val="2"/>
        <scheme val="minor"/>
      </rPr>
      <t>180679 - R - Meier
180680 - R - Orllati</t>
    </r>
  </si>
  <si>
    <r>
      <rPr>
        <sz val="10"/>
        <color rgb="FFFF0000"/>
        <rFont val="Century Gothic"/>
        <family val="2"/>
        <scheme val="minor"/>
      </rPr>
      <t>180632 - M4 - Riedo - BE</t>
    </r>
    <r>
      <rPr>
        <sz val="10"/>
        <color rgb="FF7030A0"/>
        <rFont val="Century Gothic"/>
        <family val="2"/>
        <scheme val="minor"/>
      </rPr>
      <t xml:space="preserve">
180385 - F - CIG
</t>
    </r>
    <r>
      <rPr>
        <sz val="10"/>
        <color rgb="FF0070C0"/>
        <rFont val="Century Gothic"/>
        <family val="2"/>
        <scheme val="minor"/>
      </rPr>
      <t xml:space="preserve">180663 - R - Masciadri
180666 - R - Frutiger
180675 - R - Camandona
</t>
    </r>
    <r>
      <rPr>
        <sz val="10"/>
        <rFont val="Century Gothic"/>
        <family val="2"/>
        <scheme val="minor"/>
      </rPr>
      <t>1564 - AMF</t>
    </r>
    <r>
      <rPr>
        <sz val="10"/>
        <color rgb="FF7030A0"/>
        <rFont val="Century Gothic"/>
        <family val="2"/>
        <scheme val="minor"/>
      </rPr>
      <t xml:space="preserve">
</t>
    </r>
    <r>
      <rPr>
        <sz val="10"/>
        <rFont val="Century Gothic"/>
        <family val="2"/>
        <scheme val="minor"/>
      </rPr>
      <t>BILEL ABSENT</t>
    </r>
  </si>
  <si>
    <r>
      <rPr>
        <sz val="10"/>
        <rFont val="Century Gothic"/>
        <family val="2"/>
        <scheme val="minor"/>
      </rPr>
      <t>1594 - PRODEGA</t>
    </r>
    <r>
      <rPr>
        <sz val="10"/>
        <color rgb="FF00B050"/>
        <rFont val="Century Gothic"/>
        <family val="2"/>
        <scheme val="minor"/>
      </rPr>
      <t xml:space="preserve">
341 - SAV1 - Frutiger - VD
180678 - L - Martin - VD
180665 - L - Marti - VD</t>
    </r>
    <r>
      <rPr>
        <sz val="10"/>
        <color rgb="FFFF0000"/>
        <rFont val="Century Gothic"/>
        <family val="2"/>
        <scheme val="minor"/>
      </rPr>
      <t xml:space="preserve">
180660 - M1 - Riedo - BE
</t>
    </r>
    <r>
      <rPr>
        <sz val="10"/>
        <color rgb="FF0070C0"/>
        <rFont val="Century Gothic"/>
        <family val="2"/>
        <scheme val="minor"/>
      </rPr>
      <t>180656 - 180355 - 180681 - R - Riedo
180683 - R - Jäggi+Hafter
180686 - R - Frutiger</t>
    </r>
    <r>
      <rPr>
        <sz val="10"/>
        <color theme="1" tint="0.249977111117893"/>
        <rFont val="Century Gothic"/>
        <family val="2"/>
        <scheme val="minor"/>
      </rPr>
      <t xml:space="preserve">
BILEL ABSENT</t>
    </r>
  </si>
  <si>
    <r>
      <rPr>
        <sz val="10"/>
        <color rgb="FFFF0000"/>
        <rFont val="Century Gothic"/>
        <family val="2"/>
        <scheme val="minor"/>
      </rPr>
      <t>180625 - M1 - Getaz - JU</t>
    </r>
    <r>
      <rPr>
        <sz val="10"/>
        <color theme="1" tint="0.249977111117893"/>
        <rFont val="Century Gothic"/>
        <family val="2"/>
        <scheme val="minor"/>
      </rPr>
      <t xml:space="preserve">
BILEL ABSENT</t>
    </r>
    <r>
      <rPr>
        <sz val="10"/>
        <color rgb="FF0070C0"/>
        <rFont val="Century Gothic"/>
        <family val="2"/>
        <scheme val="minor"/>
      </rPr>
      <t xml:space="preserve">
180688 - R - Grisoni
180691 - R - Camandona
</t>
    </r>
    <r>
      <rPr>
        <sz val="10"/>
        <rFont val="Century Gothic"/>
        <family val="2"/>
        <scheme val="minor"/>
      </rPr>
      <t>1574 - 1583 - Narbutas</t>
    </r>
  </si>
  <si>
    <r>
      <t xml:space="preserve">180514 - 180459 - Containex - ZH
180690 - Estee Lauder - ZH
</t>
    </r>
    <r>
      <rPr>
        <sz val="10"/>
        <color rgb="FF0070C0"/>
        <rFont val="Century Gothic"/>
        <family val="2"/>
        <scheme val="minor"/>
      </rPr>
      <t>180684 - R - Marti</t>
    </r>
  </si>
  <si>
    <r>
      <rPr>
        <sz val="10"/>
        <color rgb="FFFF0000"/>
        <rFont val="Century Gothic"/>
        <family val="2"/>
        <scheme val="minor"/>
      </rPr>
      <t xml:space="preserve">180621 - M2 - Halter - VD
</t>
    </r>
    <r>
      <rPr>
        <sz val="10"/>
        <color rgb="FF0070C0"/>
        <rFont val="Century Gothic"/>
        <family val="2"/>
        <scheme val="minor"/>
      </rPr>
      <t xml:space="preserve">180701 - R - Laurent Membrez
</t>
    </r>
    <r>
      <rPr>
        <sz val="10"/>
        <rFont val="Century Gothic"/>
        <family val="2"/>
        <scheme val="minor"/>
      </rPr>
      <t>1595 - MOBIKA</t>
    </r>
    <r>
      <rPr>
        <sz val="10"/>
        <color rgb="FFFF0000"/>
        <rFont val="Century Gothic"/>
        <family val="2"/>
        <scheme val="minor"/>
      </rPr>
      <t xml:space="preserve">
180692 - M1 - Losinger - VD</t>
    </r>
    <r>
      <rPr>
        <sz val="10"/>
        <rFont val="Century Gothic"/>
        <family val="2"/>
        <scheme val="minor"/>
      </rPr>
      <t xml:space="preserve">
</t>
    </r>
    <r>
      <rPr>
        <sz val="10"/>
        <color rgb="FFFF0000"/>
        <rFont val="Century Gothic"/>
        <family val="2"/>
        <scheme val="minor"/>
      </rPr>
      <t>180653 - M1 - HRS - VD</t>
    </r>
    <r>
      <rPr>
        <sz val="10"/>
        <rFont val="Century Gothic"/>
        <family val="2"/>
        <scheme val="minor"/>
      </rPr>
      <t xml:space="preserve">
</t>
    </r>
    <r>
      <rPr>
        <sz val="10"/>
        <color rgb="FF00B050"/>
        <rFont val="Century Gothic"/>
        <family val="2"/>
        <scheme val="minor"/>
      </rPr>
      <t>180687 - L - Orllati - VD
180553 - L - BCO - VD
180700 - L - ECM - VD</t>
    </r>
  </si>
  <si>
    <r>
      <t xml:space="preserve">180696 - M1 - Geta-Miauton - JU
180662 - M4 - Losinger - VS
</t>
    </r>
    <r>
      <rPr>
        <sz val="10"/>
        <color rgb="FF00B050"/>
        <rFont val="Century Gothic"/>
        <family val="2"/>
        <scheme val="minor"/>
      </rPr>
      <t>180695 - L - Bernasconi - NE</t>
    </r>
    <r>
      <rPr>
        <sz val="10"/>
        <color rgb="FFFF0000"/>
        <rFont val="Century Gothic"/>
        <family val="2"/>
        <scheme val="minor"/>
      </rPr>
      <t xml:space="preserve">
</t>
    </r>
  </si>
  <si>
    <r>
      <t xml:space="preserve">180662 - M4 - Losinger - VS
</t>
    </r>
    <r>
      <rPr>
        <sz val="10"/>
        <color rgb="FF00B050"/>
        <rFont val="Century Gothic"/>
        <family val="2"/>
        <scheme val="minor"/>
      </rPr>
      <t>180641 - L - Kraftanlangen - VS</t>
    </r>
    <r>
      <rPr>
        <sz val="10"/>
        <color rgb="FFFF0000"/>
        <rFont val="Century Gothic"/>
        <family val="2"/>
        <scheme val="minor"/>
      </rPr>
      <t xml:space="preserve">
</t>
    </r>
    <r>
      <rPr>
        <sz val="10"/>
        <color rgb="FF00B050"/>
        <rFont val="Century Gothic"/>
        <family val="2"/>
        <scheme val="minor"/>
      </rPr>
      <t xml:space="preserve">180694 - L - Baehler - VS
180704 - L - Semo - VS
180705 - L - Fun Body - VD
</t>
    </r>
    <r>
      <rPr>
        <sz val="10"/>
        <color rgb="FF0070C0"/>
        <rFont val="Century Gothic"/>
        <family val="2"/>
        <scheme val="minor"/>
      </rPr>
      <t>180710 - R - Ledixa</t>
    </r>
  </si>
  <si>
    <t>180640 - M2 - Steiner - ZH</t>
  </si>
  <si>
    <t>180703 - L - Orllati - VD
348 - SAV - Laurent Membrez</t>
  </si>
  <si>
    <r>
      <t xml:space="preserve">180669 - L - Bertholet Mathys - VD
</t>
    </r>
    <r>
      <rPr>
        <sz val="10"/>
        <color theme="1"/>
        <rFont val="Century Gothic"/>
        <family val="2"/>
        <scheme val="minor"/>
      </rPr>
      <t>RETRIPA - RANGEMENTS</t>
    </r>
    <r>
      <rPr>
        <sz val="10"/>
        <color rgb="FF00B050"/>
        <rFont val="Century Gothic"/>
        <family val="2"/>
        <scheme val="minor"/>
      </rPr>
      <t xml:space="preserve">
180702 - L - JPF - FR
180712 - L - Ropraz - FR
180714 - L - Camandona - VD
</t>
    </r>
    <r>
      <rPr>
        <sz val="10"/>
        <color rgb="FF0070C0"/>
        <rFont val="Century Gothic"/>
        <family val="2"/>
        <scheme val="minor"/>
      </rPr>
      <t xml:space="preserve">180716 - R - MTS
</t>
    </r>
    <r>
      <rPr>
        <sz val="10"/>
        <rFont val="Century Gothic"/>
        <family val="2"/>
        <scheme val="minor"/>
      </rPr>
      <t>1586 - ANTARES</t>
    </r>
  </si>
  <si>
    <r>
      <t xml:space="preserve">1602 - MOBIKA
</t>
    </r>
    <r>
      <rPr>
        <sz val="10"/>
        <color rgb="FF7030A0"/>
        <rFont val="Century Gothic"/>
        <family val="2"/>
        <scheme val="minor"/>
      </rPr>
      <t>180721 - F - Perret</t>
    </r>
  </si>
  <si>
    <r>
      <rPr>
        <sz val="10"/>
        <color rgb="FF0070C0"/>
        <rFont val="Century Gothic"/>
        <family val="2"/>
        <scheme val="minor"/>
      </rPr>
      <t xml:space="preserve">180724 - R - Orllati
</t>
    </r>
    <r>
      <rPr>
        <sz val="10"/>
        <color rgb="FF00B050"/>
        <rFont val="Century Gothic"/>
        <family val="2"/>
        <scheme val="minor"/>
      </rPr>
      <t>180725 - L - Membrez
180722 - L - Mined'Or</t>
    </r>
    <r>
      <rPr>
        <sz val="10"/>
        <color theme="1" tint="0.249977111117893"/>
        <rFont val="Century Gothic"/>
        <family val="2"/>
        <scheme val="minor"/>
      </rPr>
      <t xml:space="preserve">
FERIE GE
1491 - 1495 - 1502 - MADES</t>
    </r>
  </si>
  <si>
    <r>
      <t xml:space="preserve">1491 - 1495 - 1502 - MADES
</t>
    </r>
    <r>
      <rPr>
        <sz val="10"/>
        <color rgb="FF7030A0"/>
        <rFont val="Century Gothic"/>
        <family val="2"/>
        <scheme val="minor"/>
      </rPr>
      <t xml:space="preserve">180729 - F - Ecole de Martigny
</t>
    </r>
    <r>
      <rPr>
        <sz val="10"/>
        <color rgb="FF0070C0"/>
        <rFont val="Century Gothic"/>
        <family val="2"/>
        <scheme val="minor"/>
      </rPr>
      <t xml:space="preserve">180574 - R - Equipement PRO
180413 - R - Induni
</t>
    </r>
    <r>
      <rPr>
        <sz val="10"/>
        <color rgb="FFFF0000"/>
        <rFont val="Century Gothic"/>
        <family val="2"/>
        <scheme val="minor"/>
      </rPr>
      <t xml:space="preserve">180595 - Paul Vaucher - VD
Récupération tables TELLCO
</t>
    </r>
    <r>
      <rPr>
        <sz val="10"/>
        <color rgb="FF00B050"/>
        <rFont val="Century Gothic"/>
        <family val="2"/>
        <scheme val="minor"/>
      </rPr>
      <t xml:space="preserve">180674 - L - Orllati - VD
180562 - 180652 - L - Membrez - VD
180590 - L - Grisoni - FR
180629 - 180682 - L - Riedo - FR
180735 - L - EVAM - VD
</t>
    </r>
    <r>
      <rPr>
        <sz val="10"/>
        <color rgb="FF0070C0"/>
        <rFont val="Century Gothic"/>
        <family val="2"/>
        <scheme val="minor"/>
      </rPr>
      <t>180727 - R - Marti - VD</t>
    </r>
  </si>
  <si>
    <r>
      <rPr>
        <sz val="10"/>
        <color rgb="FF00B050"/>
        <rFont val="Century Gothic"/>
        <family val="2"/>
        <scheme val="minor"/>
      </rPr>
      <t>180709 - Jaggi Hafter - ZH</t>
    </r>
    <r>
      <rPr>
        <sz val="10"/>
        <color theme="1" tint="0.249977111117893"/>
        <rFont val="Century Gothic"/>
        <family val="2"/>
        <scheme val="minor"/>
      </rPr>
      <t xml:space="preserve">
</t>
    </r>
    <r>
      <rPr>
        <sz val="10"/>
        <color rgb="FFFF0000"/>
        <rFont val="Century Gothic"/>
        <family val="2"/>
        <scheme val="minor"/>
      </rPr>
      <t xml:space="preserve">180713 - M1 - Steiner ZH
</t>
    </r>
    <r>
      <rPr>
        <sz val="10"/>
        <color rgb="FF00B050"/>
        <rFont val="Century Gothic"/>
        <family val="2"/>
        <scheme val="minor"/>
      </rPr>
      <t>180623 - L - Birchmeier - ZH
180698 - L - Bernasconi - NE
180678 - L - Frutiger - BE
180646 - L - Semo - FR
180617 - L - Hunziker - ZH</t>
    </r>
  </si>
  <si>
    <r>
      <rPr>
        <sz val="10"/>
        <color theme="1"/>
        <rFont val="Century Gothic"/>
        <family val="2"/>
        <scheme val="minor"/>
      </rPr>
      <t>1605 - France Boissons</t>
    </r>
    <r>
      <rPr>
        <sz val="10"/>
        <color rgb="FF00B050"/>
        <rFont val="Century Gothic"/>
        <family val="2"/>
        <scheme val="minor"/>
      </rPr>
      <t xml:space="preserve">
180718 - L - Martin - VD
180717 - L - Camandona - VD
180741 - L - ECM - VD</t>
    </r>
  </si>
  <si>
    <r>
      <t xml:space="preserve">180538 - L - Marti - GE
180604 - L - Piasio - GE
180743 - L - Perrin - GE
342 - SAV - Maulini - ramener tables Landi
</t>
    </r>
    <r>
      <rPr>
        <sz val="10"/>
        <color rgb="FF0070C0"/>
        <rFont val="Century Gothic"/>
        <family val="2"/>
        <scheme val="minor"/>
      </rPr>
      <t>180745 - R - Frutiger</t>
    </r>
  </si>
  <si>
    <t>180736 - 180690 - M6 - Estee Lauder - ZH</t>
  </si>
  <si>
    <r>
      <t xml:space="preserve">180736 - 180690 - R - Estee Lauder
</t>
    </r>
    <r>
      <rPr>
        <sz val="10"/>
        <color rgb="FF7030A0"/>
        <rFont val="Century Gothic"/>
        <family val="2"/>
        <scheme val="minor"/>
      </rPr>
      <t xml:space="preserve">180751 - F - Maulini
180751 - F - Piasio
</t>
    </r>
    <r>
      <rPr>
        <sz val="10"/>
        <color rgb="FF0070C0"/>
        <rFont val="Century Gothic"/>
        <family val="2"/>
        <scheme val="minor"/>
      </rPr>
      <t xml:space="preserve">180728 - R - Piasio
180755 - R - Marti
</t>
    </r>
    <r>
      <rPr>
        <sz val="10"/>
        <color rgb="FFFF0000"/>
        <rFont val="Century Gothic"/>
        <family val="2"/>
        <scheme val="minor"/>
      </rPr>
      <t>349 - SAV1 - Baltensperger - ZH
180736 - 180690 - M6 - Estee Lauder - ZH</t>
    </r>
  </si>
  <si>
    <r>
      <rPr>
        <sz val="10"/>
        <color rgb="FF00B050"/>
        <rFont val="Century Gothic"/>
        <family val="2"/>
        <scheme val="minor"/>
      </rPr>
      <t>180759 - L - Frutiger - VD</t>
    </r>
    <r>
      <rPr>
        <sz val="10"/>
        <color rgb="FFFF0000"/>
        <rFont val="Century Gothic"/>
        <family val="2"/>
        <scheme val="minor"/>
      </rPr>
      <t xml:space="preserve">
180639 - 180742 - M2 - Steiner - GE</t>
    </r>
  </si>
  <si>
    <r>
      <t xml:space="preserve">FERIE VD
</t>
    </r>
    <r>
      <rPr>
        <sz val="10"/>
        <color rgb="FF7030A0"/>
        <rFont val="Century Gothic"/>
        <family val="2"/>
        <scheme val="minor"/>
      </rPr>
      <t>180606 - F - Tellco</t>
    </r>
    <r>
      <rPr>
        <sz val="10"/>
        <color theme="1" tint="0.249977111117893"/>
        <rFont val="Century Gothic"/>
        <family val="2"/>
        <scheme val="minor"/>
      </rPr>
      <t xml:space="preserve">
</t>
    </r>
    <r>
      <rPr>
        <sz val="10"/>
        <color rgb="FF00B050"/>
        <rFont val="Century Gothic"/>
        <family val="2"/>
        <scheme val="minor"/>
      </rPr>
      <t>180758 - L - Buchs - VD</t>
    </r>
  </si>
  <si>
    <r>
      <t>180754 - M2 - Losinger - VD</t>
    </r>
    <r>
      <rPr>
        <sz val="10"/>
        <color rgb="FF00B050"/>
        <rFont val="Century Gothic"/>
        <family val="2"/>
        <scheme val="minor"/>
      </rPr>
      <t xml:space="preserve">
</t>
    </r>
    <r>
      <rPr>
        <sz val="10"/>
        <color rgb="FF0070C0"/>
        <rFont val="Century Gothic"/>
        <family val="2"/>
        <scheme val="minor"/>
      </rPr>
      <t xml:space="preserve">180768 - R - Perrin
</t>
    </r>
    <r>
      <rPr>
        <sz val="10"/>
        <color rgb="FFFF0000"/>
        <rFont val="Century Gothic"/>
        <family val="2"/>
        <scheme val="minor"/>
      </rPr>
      <t xml:space="preserve">180762 - M1 - Steiner - VD
</t>
    </r>
    <r>
      <rPr>
        <sz val="10"/>
        <color rgb="FF00B050"/>
        <rFont val="Century Gothic"/>
        <family val="2"/>
        <scheme val="minor"/>
      </rPr>
      <t>180773 - L - Laurent Membrez - VD</t>
    </r>
  </si>
  <si>
    <r>
      <t xml:space="preserve">180748 - L - Pression Mugnier - GE
</t>
    </r>
    <r>
      <rPr>
        <sz val="10"/>
        <color rgb="FFFF0000"/>
        <rFont val="Century Gothic"/>
        <family val="2"/>
        <scheme val="minor"/>
      </rPr>
      <t>180706 - M1 - Losinger - GE</t>
    </r>
    <r>
      <rPr>
        <sz val="10"/>
        <color rgb="FF00B050"/>
        <rFont val="Century Gothic"/>
        <family val="2"/>
        <scheme val="minor"/>
      </rPr>
      <t xml:space="preserve">
180649 - L - EVAM - VD
</t>
    </r>
    <r>
      <rPr>
        <sz val="10"/>
        <color rgb="FF0070C0"/>
        <rFont val="Century Gothic"/>
        <family val="2"/>
        <scheme val="minor"/>
      </rPr>
      <t xml:space="preserve">180763 - R - Wildhaus
</t>
    </r>
    <r>
      <rPr>
        <sz val="10"/>
        <color rgb="FF7030A0"/>
        <rFont val="Century Gothic"/>
        <family val="2"/>
        <scheme val="minor"/>
      </rPr>
      <t>180764 - F - Wildhaus</t>
    </r>
    <r>
      <rPr>
        <sz val="10"/>
        <color rgb="FF0070C0"/>
        <rFont val="Century Gothic"/>
        <family val="2"/>
        <scheme val="minor"/>
      </rPr>
      <t xml:space="preserve">
</t>
    </r>
    <r>
      <rPr>
        <sz val="10"/>
        <color rgb="FF7030A0"/>
        <rFont val="Century Gothic"/>
        <family val="2"/>
        <scheme val="minor"/>
      </rPr>
      <t>180767 - F - Perrin</t>
    </r>
    <r>
      <rPr>
        <sz val="10"/>
        <color rgb="FF0070C0"/>
        <rFont val="Century Gothic"/>
        <family val="2"/>
        <scheme val="minor"/>
      </rPr>
      <t xml:space="preserve">
180770 - R - Frutiger
180775 - 180780 - R - Marti
180777 - R - Camandona
180778 - R - Metamorphosis</t>
    </r>
  </si>
  <si>
    <r>
      <t xml:space="preserve">180747 - M2 - Riedo - ZH
351 - SAV2 - Fagsi - BL
</t>
    </r>
    <r>
      <rPr>
        <sz val="10"/>
        <color rgb="FF00B050"/>
        <rFont val="Century Gothic"/>
        <family val="2"/>
        <scheme val="minor"/>
      </rPr>
      <t xml:space="preserve">180765 - L - Frutiger - BE
</t>
    </r>
    <r>
      <rPr>
        <sz val="10"/>
        <color rgb="FF7030A0"/>
        <rFont val="Century Gothic"/>
        <family val="2"/>
        <scheme val="minor"/>
      </rPr>
      <t>180761 - F - EVAM</t>
    </r>
    <r>
      <rPr>
        <sz val="10"/>
        <color rgb="FF0070C0"/>
        <rFont val="Century Gothic"/>
        <family val="2"/>
        <scheme val="minor"/>
      </rPr>
      <t xml:space="preserve">
180779 - R - Grisoni
180730 - 180781 - R - Implenia</t>
    </r>
  </si>
  <si>
    <r>
      <t xml:space="preserve">180685 - M2 - Losinger - VS 
</t>
    </r>
    <r>
      <rPr>
        <sz val="10"/>
        <color rgb="FF0070C0"/>
        <rFont val="Century Gothic"/>
        <family val="2"/>
        <scheme val="minor"/>
      </rPr>
      <t>180782 - R - Implenia
180719 - R - Ecole de Martigny</t>
    </r>
  </si>
  <si>
    <r>
      <rPr>
        <sz val="10"/>
        <color rgb="FFFF0000"/>
        <rFont val="Century Gothic"/>
        <family val="2"/>
        <scheme val="minor"/>
      </rPr>
      <t>180787 - M1 - Losinger - VD</t>
    </r>
    <r>
      <rPr>
        <sz val="10"/>
        <color rgb="FF7030A0"/>
        <rFont val="Century Gothic"/>
        <family val="2"/>
        <scheme val="minor"/>
      </rPr>
      <t xml:space="preserve">
180786 - F - Orllati
180785 - F - Bollini
</t>
    </r>
    <r>
      <rPr>
        <sz val="10"/>
        <color rgb="FF0070C0"/>
        <rFont val="Century Gothic"/>
        <family val="2"/>
        <scheme val="minor"/>
      </rPr>
      <t xml:space="preserve">180789 - R - Alho
</t>
    </r>
    <r>
      <rPr>
        <sz val="10"/>
        <color rgb="FFFF0000"/>
        <rFont val="Century Gothic"/>
        <family val="2"/>
        <scheme val="minor"/>
      </rPr>
      <t>180670 - M1 - Mino - VD</t>
    </r>
    <r>
      <rPr>
        <sz val="10"/>
        <color theme="1" tint="0.249977111117893"/>
        <rFont val="Century Gothic"/>
        <family val="2"/>
        <scheme val="minor"/>
      </rPr>
      <t xml:space="preserve">
Mercedes Service + pneus
1521 - 1522 - MADES
</t>
    </r>
    <r>
      <rPr>
        <sz val="10"/>
        <color rgb="FF0070C0"/>
        <rFont val="Century Gothic"/>
        <family val="2"/>
        <scheme val="minor"/>
      </rPr>
      <t>180739 - R - Marti</t>
    </r>
  </si>
  <si>
    <r>
      <rPr>
        <sz val="10"/>
        <color theme="1"/>
        <rFont val="Century Gothic"/>
        <family val="2"/>
        <scheme val="minor"/>
      </rPr>
      <t>1521 - 1522 - MADES</t>
    </r>
    <r>
      <rPr>
        <sz val="10"/>
        <color rgb="FFFF0000"/>
        <rFont val="Century Gothic"/>
        <family val="2"/>
        <scheme val="minor"/>
      </rPr>
      <t xml:space="preserve">
</t>
    </r>
    <r>
      <rPr>
        <sz val="10"/>
        <color rgb="FF0070C0"/>
        <rFont val="Century Gothic"/>
        <family val="2"/>
        <scheme val="minor"/>
      </rPr>
      <t xml:space="preserve">180672 - 180774 - 180795 - R - Marti
180771 - 180793 - 180796 - R - Frutiger
180738 - R - Riedo
180734 - R - Jäggi + Hafter
</t>
    </r>
    <r>
      <rPr>
        <sz val="10"/>
        <color rgb="FF7030A0"/>
        <rFont val="Century Gothic"/>
        <family val="2"/>
        <scheme val="minor"/>
      </rPr>
      <t>180788 - F - Frutiger</t>
    </r>
    <r>
      <rPr>
        <sz val="10"/>
        <color rgb="FF0070C0"/>
        <rFont val="Century Gothic"/>
        <family val="2"/>
        <scheme val="minor"/>
      </rPr>
      <t xml:space="preserve">
</t>
    </r>
    <r>
      <rPr>
        <sz val="10"/>
        <color rgb="FF00B050"/>
        <rFont val="Century Gothic"/>
        <family val="2"/>
        <scheme val="minor"/>
      </rPr>
      <t>180800 - L - Clot - VD</t>
    </r>
  </si>
  <si>
    <r>
      <t xml:space="preserve">Laurent absent
Carlos de retour
</t>
    </r>
    <r>
      <rPr>
        <sz val="10"/>
        <color rgb="FFFF0000"/>
        <rFont val="Century Gothic"/>
        <family val="2"/>
        <scheme val="minor"/>
      </rPr>
      <t>180757 - 180744 - M2 - Estee Lauder - ZH
180699 - M2 - Containex - ZH
180766 - M2 - Riedo - ZH
352 - SAV1 - Riedo Ramener les MARKUS</t>
    </r>
  </si>
  <si>
    <r>
      <t xml:space="preserve">345 - SAV2 - Implenia - VD APRES-MIDI
180756 - M2 - Steiner - GE
</t>
    </r>
    <r>
      <rPr>
        <sz val="10"/>
        <color rgb="FF00B050"/>
        <rFont val="Century Gothic"/>
        <family val="2"/>
        <scheme val="minor"/>
      </rPr>
      <t xml:space="preserve">180720 - 180657 - L - Perret - GE
180645 - L - Maulini - GE
180799 - L - Rampini - GE
180790 - 180791 - Halter - VD
</t>
    </r>
    <r>
      <rPr>
        <sz val="10"/>
        <color rgb="FF7030A0"/>
        <rFont val="Century Gothic"/>
        <family val="2"/>
        <scheme val="minor"/>
      </rPr>
      <t>180797 - F - GH</t>
    </r>
  </si>
  <si>
    <r>
      <t xml:space="preserve">Laurent absent
</t>
    </r>
    <r>
      <rPr>
        <sz val="10"/>
        <color rgb="FF0070C0"/>
        <rFont val="Century Gothic"/>
        <family val="2"/>
        <scheme val="minor"/>
      </rPr>
      <t>180802 - R - Perret</t>
    </r>
    <r>
      <rPr>
        <sz val="10"/>
        <color theme="1" tint="0.249977111117893"/>
        <rFont val="Century Gothic"/>
        <family val="2"/>
        <scheme val="minor"/>
      </rPr>
      <t xml:space="preserve">
</t>
    </r>
    <r>
      <rPr>
        <sz val="10"/>
        <color rgb="FFFF0000"/>
        <rFont val="Century Gothic"/>
        <family val="2"/>
        <scheme val="minor"/>
      </rPr>
      <t>180794 - M2 - Mino - VD</t>
    </r>
  </si>
  <si>
    <r>
      <t xml:space="preserve">Laurent absent
</t>
    </r>
    <r>
      <rPr>
        <sz val="10"/>
        <color rgb="FFFF0000"/>
        <rFont val="Century Gothic"/>
        <family val="2"/>
        <scheme val="minor"/>
      </rPr>
      <t xml:space="preserve">180733 - M2 - Stirnimann - VD
</t>
    </r>
    <r>
      <rPr>
        <sz val="10"/>
        <color rgb="FF002060"/>
        <rFont val="Century Gothic"/>
        <family val="2"/>
        <scheme val="minor"/>
      </rPr>
      <t>1648 LANDI</t>
    </r>
    <r>
      <rPr>
        <sz val="10"/>
        <color rgb="FFFF0000"/>
        <rFont val="Century Gothic"/>
        <family val="2"/>
        <scheme val="minor"/>
      </rPr>
      <t xml:space="preserve">
180697 - M2 - NNE - VD
</t>
    </r>
    <r>
      <rPr>
        <sz val="10"/>
        <color rgb="FF00B050"/>
        <rFont val="Century Gothic"/>
        <family val="2"/>
        <scheme val="minor"/>
      </rPr>
      <t xml:space="preserve">180635 - L - Riedo - FR
180804 - 180638 - 180557 - L - Perrin - VD
</t>
    </r>
    <r>
      <rPr>
        <sz val="10"/>
        <color rgb="FF0070C0"/>
        <rFont val="Century Gothic"/>
        <family val="2"/>
        <scheme val="minor"/>
      </rPr>
      <t>180806 - R - Synergie</t>
    </r>
    <r>
      <rPr>
        <sz val="10"/>
        <color rgb="FF00B050"/>
        <rFont val="Century Gothic"/>
        <family val="2"/>
        <scheme val="minor"/>
      </rPr>
      <t xml:space="preserve">
180750 - L - La Chocolatière - VD
180812 - L - Orllati - VD
353 - SAV - Fun Body</t>
    </r>
  </si>
  <si>
    <r>
      <t xml:space="preserve">Laurent absent
</t>
    </r>
    <r>
      <rPr>
        <sz val="10"/>
        <color rgb="FFFF0000"/>
        <rFont val="Century Gothic"/>
        <family val="2"/>
        <scheme val="minor"/>
      </rPr>
      <t>180811 - M1 - Losinger - ZH</t>
    </r>
  </si>
  <si>
    <r>
      <t xml:space="preserve">Laurent absent
</t>
    </r>
    <r>
      <rPr>
        <sz val="10"/>
        <color rgb="FFFF0000"/>
        <rFont val="Century Gothic"/>
        <family val="2"/>
        <scheme val="minor"/>
      </rPr>
      <t>180814 - M2 - Orllati - VD</t>
    </r>
  </si>
  <si>
    <r>
      <t xml:space="preserve">Laurent absent
</t>
    </r>
    <r>
      <rPr>
        <sz val="10"/>
        <color rgb="FFFF0000"/>
        <rFont val="Century Gothic"/>
        <family val="2"/>
        <scheme val="minor"/>
      </rPr>
      <t>180711 - M2 - Simond - VD</t>
    </r>
    <r>
      <rPr>
        <sz val="10"/>
        <color theme="1" tint="0.249977111117893"/>
        <rFont val="Century Gothic"/>
        <family val="2"/>
        <scheme val="minor"/>
      </rPr>
      <t xml:space="preserve">
</t>
    </r>
    <r>
      <rPr>
        <sz val="10"/>
        <color rgb="FFFF0000"/>
        <rFont val="Century Gothic"/>
        <family val="2"/>
        <scheme val="minor"/>
      </rPr>
      <t>180726 - M2 - AC Immune - VD</t>
    </r>
  </si>
  <si>
    <r>
      <t xml:space="preserve">Laurent absent
</t>
    </r>
    <r>
      <rPr>
        <sz val="10"/>
        <color rgb="FFFF0000"/>
        <rFont val="Century Gothic"/>
        <family val="2"/>
        <scheme val="minor"/>
      </rPr>
      <t>180808 - M2 - AnimArt Culinaire - VD</t>
    </r>
    <r>
      <rPr>
        <sz val="10"/>
        <color theme="1" tint="0.249977111117893"/>
        <rFont val="Century Gothic"/>
        <family val="2"/>
        <scheme val="minor"/>
      </rPr>
      <t xml:space="preserve">
</t>
    </r>
    <r>
      <rPr>
        <sz val="10"/>
        <color rgb="FFFF0000"/>
        <rFont val="Century Gothic"/>
        <family val="2"/>
        <scheme val="minor"/>
      </rPr>
      <t>180726 - M2 - AC Immune - VD</t>
    </r>
  </si>
  <si>
    <r>
      <rPr>
        <sz val="10"/>
        <color rgb="FF7030A0"/>
        <rFont val="Century Gothic"/>
        <family val="2"/>
        <scheme val="minor"/>
      </rPr>
      <t xml:space="preserve">180776 - F - Soundpatch
180826 - F - Perrin
</t>
    </r>
    <r>
      <rPr>
        <sz val="10"/>
        <color rgb="FF00B050"/>
        <rFont val="Century Gothic"/>
        <family val="2"/>
        <scheme val="minor"/>
      </rPr>
      <t xml:space="preserve">180822 - L - Stirnimann - VD
</t>
    </r>
    <r>
      <rPr>
        <sz val="10"/>
        <color rgb="FF0070C0"/>
        <rFont val="Century Gothic"/>
        <family val="2"/>
        <scheme val="minor"/>
      </rPr>
      <t>180830 - R - Implenia</t>
    </r>
    <r>
      <rPr>
        <sz val="10"/>
        <color rgb="FF00B050"/>
        <rFont val="Century Gothic"/>
        <family val="2"/>
        <scheme val="minor"/>
      </rPr>
      <t xml:space="preserve">
</t>
    </r>
    <r>
      <rPr>
        <sz val="10"/>
        <color rgb="FF0070C0"/>
        <rFont val="Century Gothic"/>
        <family val="2"/>
        <scheme val="minor"/>
      </rPr>
      <t xml:space="preserve">180828 - R - Orllati
180831 - R - Sadiku
</t>
    </r>
    <r>
      <rPr>
        <sz val="10"/>
        <color rgb="FFFF0000"/>
        <rFont val="Century Gothic"/>
        <family val="2"/>
        <scheme val="minor"/>
      </rPr>
      <t>180829 - M1 - AC Immune - VD</t>
    </r>
    <r>
      <rPr>
        <sz val="10"/>
        <color rgb="FF00B050"/>
        <rFont val="Century Gothic"/>
        <family val="2"/>
        <scheme val="minor"/>
      </rPr>
      <t xml:space="preserve">
</t>
    </r>
    <r>
      <rPr>
        <sz val="10"/>
        <color theme="1"/>
        <rFont val="Century Gothic"/>
        <family val="2"/>
        <scheme val="minor"/>
      </rPr>
      <t>RETRIPA</t>
    </r>
    <r>
      <rPr>
        <sz val="10"/>
        <color rgb="FF00B050"/>
        <rFont val="Century Gothic"/>
        <family val="2"/>
        <scheme val="minor"/>
      </rPr>
      <t xml:space="preserve">
</t>
    </r>
    <r>
      <rPr>
        <sz val="10"/>
        <rFont val="Century Gothic"/>
        <family val="2"/>
        <scheme val="minor"/>
      </rPr>
      <t>ANTARES</t>
    </r>
    <r>
      <rPr>
        <sz val="10"/>
        <color theme="1" tint="0.249977111117893"/>
        <rFont val="Century Gothic"/>
        <family val="2"/>
        <scheme val="minor"/>
      </rPr>
      <t xml:space="preserve">
Laurent absent</t>
    </r>
  </si>
  <si>
    <r>
      <t xml:space="preserve">Laurent absent
</t>
    </r>
    <r>
      <rPr>
        <sz val="10"/>
        <color rgb="FF00B050"/>
        <rFont val="Century Gothic"/>
        <family val="2"/>
        <scheme val="minor"/>
      </rPr>
      <t xml:space="preserve">180732 - WL Bau - L - LU
</t>
    </r>
    <r>
      <rPr>
        <sz val="10"/>
        <color rgb="FFFF0000"/>
        <rFont val="Century Gothic"/>
        <family val="2"/>
        <scheme val="minor"/>
      </rPr>
      <t>180815 - M2 - Baltensperger - ZH
355 - SAV WL BAU - LU</t>
    </r>
  </si>
  <si>
    <r>
      <t>Laurent absent</t>
    </r>
    <r>
      <rPr>
        <sz val="10"/>
        <color rgb="FFFF0000"/>
        <rFont val="Century Gothic"/>
        <family val="2"/>
        <scheme val="minor"/>
      </rPr>
      <t xml:space="preserve">
</t>
    </r>
    <r>
      <rPr>
        <sz val="10"/>
        <color rgb="FF0070C0"/>
        <rFont val="Century Gothic"/>
        <family val="2"/>
        <scheme val="minor"/>
      </rPr>
      <t xml:space="preserve">180818 - R - NASCA
</t>
    </r>
    <r>
      <rPr>
        <sz val="10"/>
        <color rgb="FF7030A0"/>
        <rFont val="Century Gothic"/>
        <family val="2"/>
        <scheme val="minor"/>
      </rPr>
      <t>180740 - F - Tellco</t>
    </r>
  </si>
  <si>
    <r>
      <rPr>
        <sz val="10"/>
        <color rgb="FF00B050"/>
        <rFont val="Century Gothic"/>
        <family val="2"/>
        <scheme val="minor"/>
      </rPr>
      <t>180841 - L - Informatique - FR</t>
    </r>
    <r>
      <rPr>
        <sz val="10"/>
        <color theme="1" tint="0.249977111117893"/>
        <rFont val="Century Gothic"/>
        <family val="2"/>
        <scheme val="minor"/>
      </rPr>
      <t xml:space="preserve">
</t>
    </r>
    <r>
      <rPr>
        <sz val="10"/>
        <color rgb="FFFF0000"/>
        <rFont val="Century Gothic"/>
        <family val="2"/>
        <scheme val="minor"/>
      </rPr>
      <t>180626 - M1 - Givimed - FR</t>
    </r>
    <r>
      <rPr>
        <sz val="10"/>
        <color rgb="FF00B050"/>
        <rFont val="Century Gothic"/>
        <family val="2"/>
        <scheme val="minor"/>
      </rPr>
      <t xml:space="preserve">
</t>
    </r>
    <r>
      <rPr>
        <sz val="10"/>
        <color rgb="FF0070C0"/>
        <rFont val="Century Gothic"/>
        <family val="2"/>
        <scheme val="minor"/>
      </rPr>
      <t xml:space="preserve">180707 - R - Imbovi
</t>
    </r>
    <r>
      <rPr>
        <sz val="10"/>
        <color rgb="FF00B050"/>
        <rFont val="Century Gothic"/>
        <family val="2"/>
        <scheme val="minor"/>
      </rPr>
      <t xml:space="preserve">180836 - L - ECM - VD
180838 - L - Martin - VD
</t>
    </r>
    <r>
      <rPr>
        <sz val="10"/>
        <color rgb="FF0070C0"/>
        <rFont val="Century Gothic"/>
        <family val="2"/>
        <scheme val="minor"/>
      </rPr>
      <t>180843 - R - Banos
180842 - R - Induni
180845 - R - MINO</t>
    </r>
    <r>
      <rPr>
        <sz val="10"/>
        <color theme="1" tint="0.249977111117893"/>
        <rFont val="Century Gothic"/>
        <family val="2"/>
        <scheme val="minor"/>
      </rPr>
      <t xml:space="preserve">
RETRIPA</t>
    </r>
  </si>
  <si>
    <r>
      <rPr>
        <sz val="10"/>
        <color rgb="FF00B050"/>
        <rFont val="Century Gothic"/>
        <family val="2"/>
        <scheme val="minor"/>
      </rPr>
      <t xml:space="preserve">180839 - L - AC Immune - VD
</t>
    </r>
    <r>
      <rPr>
        <sz val="10"/>
        <color rgb="FF0070C0"/>
        <rFont val="Century Gothic"/>
        <family val="2"/>
        <scheme val="minor"/>
      </rPr>
      <t>180848 - R - Induni</t>
    </r>
    <r>
      <rPr>
        <sz val="10"/>
        <color theme="1" tint="0.249977111117893"/>
        <rFont val="Century Gothic"/>
        <family val="2"/>
        <scheme val="minor"/>
      </rPr>
      <t xml:space="preserve">
</t>
    </r>
  </si>
  <si>
    <t>Carlos Docteur
Arrivage camion eau</t>
  </si>
  <si>
    <r>
      <rPr>
        <sz val="10"/>
        <color rgb="FF00B050"/>
        <rFont val="Century Gothic"/>
        <family val="2"/>
        <scheme val="minor"/>
      </rPr>
      <t xml:space="preserve">180824 - L - Camandona - VD
</t>
    </r>
    <r>
      <rPr>
        <sz val="10"/>
        <rFont val="Century Gothic"/>
        <family val="2"/>
        <scheme val="minor"/>
      </rPr>
      <t xml:space="preserve">1666 - Landi
354 - Fun Body
</t>
    </r>
    <r>
      <rPr>
        <sz val="10"/>
        <color rgb="FF00B050"/>
        <rFont val="Century Gothic"/>
        <family val="2"/>
        <scheme val="minor"/>
      </rPr>
      <t>180849 - L - Ac Immune - VD</t>
    </r>
    <r>
      <rPr>
        <sz val="10"/>
        <rFont val="Century Gothic"/>
        <family val="2"/>
        <scheme val="minor"/>
      </rPr>
      <t xml:space="preserve">
</t>
    </r>
    <r>
      <rPr>
        <sz val="10"/>
        <color rgb="FFFF0000"/>
        <rFont val="Century Gothic"/>
        <family val="2"/>
        <scheme val="minor"/>
      </rPr>
      <t xml:space="preserve">180844 - M1 - Simond - VD
</t>
    </r>
    <r>
      <rPr>
        <sz val="10"/>
        <color rgb="FF00B050"/>
        <rFont val="Century Gothic"/>
        <family val="2"/>
        <scheme val="minor"/>
      </rPr>
      <t>180862 - L - Zed - VD</t>
    </r>
    <r>
      <rPr>
        <sz val="10"/>
        <color rgb="FFFF0000"/>
        <rFont val="Century Gothic"/>
        <family val="2"/>
        <scheme val="minor"/>
      </rPr>
      <t xml:space="preserve">
180853 - M1 - Orllati - VD
</t>
    </r>
    <r>
      <rPr>
        <sz val="10"/>
        <color rgb="FF00B050"/>
        <rFont val="Century Gothic"/>
        <family val="2"/>
        <scheme val="minor"/>
      </rPr>
      <t>180855 - L - Orllati - VD</t>
    </r>
    <r>
      <rPr>
        <sz val="10"/>
        <color rgb="FF0070C0"/>
        <rFont val="Century Gothic"/>
        <family val="2"/>
        <scheme val="minor"/>
      </rPr>
      <t xml:space="preserve">
180837 - R - Baltensperger
180854 - R - Stirnimann
</t>
    </r>
    <r>
      <rPr>
        <sz val="10"/>
        <color theme="1"/>
        <rFont val="Century Gothic"/>
        <family val="2"/>
        <scheme val="minor"/>
      </rPr>
      <t>Arrivage 2 containers MADES</t>
    </r>
  </si>
  <si>
    <r>
      <t xml:space="preserve">Arrivage 1 containers MADES
</t>
    </r>
    <r>
      <rPr>
        <sz val="10"/>
        <color rgb="FFFF0000"/>
        <rFont val="Century Gothic"/>
        <family val="2"/>
        <scheme val="minor"/>
      </rPr>
      <t>180819 - M1 - Losinger - GE</t>
    </r>
    <r>
      <rPr>
        <sz val="10"/>
        <color theme="1"/>
        <rFont val="Century Gothic"/>
        <family val="2"/>
        <scheme val="minor"/>
      </rPr>
      <t xml:space="preserve">
</t>
    </r>
    <r>
      <rPr>
        <sz val="10"/>
        <color rgb="FFFF0000"/>
        <rFont val="Century Gothic"/>
        <family val="2"/>
        <scheme val="minor"/>
      </rPr>
      <t>180611 - M1 - Steiner - GE</t>
    </r>
    <r>
      <rPr>
        <sz val="10"/>
        <color theme="1"/>
        <rFont val="Century Gothic"/>
        <family val="2"/>
        <scheme val="minor"/>
      </rPr>
      <t xml:space="preserve">
</t>
    </r>
    <r>
      <rPr>
        <sz val="10"/>
        <color rgb="FFFF0000"/>
        <rFont val="Century Gothic"/>
        <family val="2"/>
        <scheme val="minor"/>
      </rPr>
      <t xml:space="preserve">180613 - M2 - Paul Vaucher - VD
</t>
    </r>
    <r>
      <rPr>
        <sz val="10"/>
        <color rgb="FF00B050"/>
        <rFont val="Century Gothic"/>
        <family val="2"/>
        <scheme val="minor"/>
      </rPr>
      <t>180846 - L - Perrin - VD
180817 - L - Piasio - GE
180746 - L - Frutiger - VD</t>
    </r>
  </si>
  <si>
    <t>180805 - M2 - Riedo - BE</t>
  </si>
  <si>
    <r>
      <rPr>
        <sz val="10"/>
        <color rgb="FF00B050"/>
        <rFont val="Century Gothic"/>
        <family val="2"/>
        <scheme val="minor"/>
      </rPr>
      <t xml:space="preserve">180772 - L - Meloni - FR 0800
</t>
    </r>
    <r>
      <rPr>
        <sz val="10"/>
        <color rgb="FFFF0000"/>
        <rFont val="Century Gothic"/>
        <family val="2"/>
        <scheme val="minor"/>
      </rPr>
      <t xml:space="preserve">357 - SAV - Riedo - BE
</t>
    </r>
    <r>
      <rPr>
        <sz val="10"/>
        <color rgb="FF00B050"/>
        <rFont val="Century Gothic"/>
        <family val="2"/>
        <scheme val="minor"/>
      </rPr>
      <t>358 -</t>
    </r>
    <r>
      <rPr>
        <sz val="10"/>
        <color rgb="FFFF0000"/>
        <rFont val="Century Gothic"/>
        <family val="2"/>
        <scheme val="minor"/>
      </rPr>
      <t xml:space="preserve"> </t>
    </r>
    <r>
      <rPr>
        <sz val="10"/>
        <color rgb="FF00B050"/>
        <rFont val="Century Gothic"/>
        <family val="2"/>
        <scheme val="minor"/>
      </rPr>
      <t xml:space="preserve">180558 - 180801 - 180693 - L - Riedo - FR
180857 - 180677 - L - Medair - VD
</t>
    </r>
    <r>
      <rPr>
        <sz val="10"/>
        <color rgb="FF0070C0"/>
        <rFont val="Century Gothic"/>
        <family val="2"/>
        <scheme val="minor"/>
      </rPr>
      <t xml:space="preserve">180860 - R - Jäggi
</t>
    </r>
    <r>
      <rPr>
        <sz val="10"/>
        <color rgb="FF00B050"/>
        <rFont val="Century Gothic"/>
        <family val="2"/>
        <scheme val="minor"/>
      </rPr>
      <t>180833 - L - Marti - VD</t>
    </r>
  </si>
  <si>
    <r>
      <t xml:space="preserve">180673 - M2 - Marti - VD
</t>
    </r>
    <r>
      <rPr>
        <sz val="10"/>
        <color rgb="FF0070C0"/>
        <rFont val="Century Gothic"/>
        <family val="2"/>
        <scheme val="minor"/>
      </rPr>
      <t>180863 - R - Maulini</t>
    </r>
    <r>
      <rPr>
        <sz val="10"/>
        <color rgb="FFFF0000"/>
        <rFont val="Century Gothic"/>
        <family val="2"/>
        <scheme val="minor"/>
      </rPr>
      <t xml:space="preserve">
</t>
    </r>
    <r>
      <rPr>
        <sz val="10"/>
        <color rgb="FF7030A0"/>
        <rFont val="Century Gothic"/>
        <family val="2"/>
        <scheme val="minor"/>
      </rPr>
      <t>180864 - F - Maulini</t>
    </r>
  </si>
  <si>
    <t>180861 - M2 - Strabag - BE
180864 - M2 - Riedo - BE
180847 - M2 - flexbelag - ZH</t>
  </si>
  <si>
    <t>180870 - L - Scrasa - VD</t>
  </si>
  <si>
    <r>
      <rPr>
        <sz val="10"/>
        <color rgb="FF00B050"/>
        <rFont val="Century Gothic"/>
        <family val="2"/>
        <scheme val="minor"/>
      </rPr>
      <t>180816 - 180851 - L - Riedo - FR</t>
    </r>
    <r>
      <rPr>
        <sz val="10"/>
        <color theme="1" tint="0.249977111117893"/>
        <rFont val="Century Gothic"/>
        <family val="2"/>
        <scheme val="minor"/>
      </rPr>
      <t xml:space="preserve">
</t>
    </r>
    <r>
      <rPr>
        <sz val="10"/>
        <color rgb="FF00B050"/>
        <rFont val="Century Gothic"/>
        <family val="2"/>
        <scheme val="minor"/>
      </rPr>
      <t xml:space="preserve">180868 - L - Grisoni - FR
180840 - L - Piasio - GE
</t>
    </r>
    <r>
      <rPr>
        <sz val="10"/>
        <color rgb="FFFF0000"/>
        <rFont val="Century Gothic"/>
        <family val="2"/>
        <scheme val="minor"/>
      </rPr>
      <t xml:space="preserve">180869 - M2 - Steiner - GE
</t>
    </r>
    <r>
      <rPr>
        <sz val="10"/>
        <color theme="1"/>
        <rFont val="Century Gothic"/>
        <family val="2"/>
        <scheme val="minor"/>
      </rPr>
      <t>360 - SAV - Metamorphosis
361 - SAV - Mine d'or</t>
    </r>
  </si>
  <si>
    <r>
      <t xml:space="preserve">180875 - M2 - Induni - VD
</t>
    </r>
    <r>
      <rPr>
        <sz val="10"/>
        <color rgb="FF00B050"/>
        <rFont val="Century Gothic"/>
        <family val="2"/>
        <scheme val="minor"/>
      </rPr>
      <t>363 - L - Induni - VD
180883 - L - Pizzera Poletti - VD</t>
    </r>
  </si>
  <si>
    <t>180810 - M2 - Implenia - VD</t>
  </si>
  <si>
    <r>
      <t xml:space="preserve">180884 - F - Perret
</t>
    </r>
    <r>
      <rPr>
        <sz val="10"/>
        <color rgb="FF0070C0"/>
        <rFont val="Century Gothic"/>
        <family val="2"/>
        <scheme val="minor"/>
      </rPr>
      <t xml:space="preserve">180895 - R - Vincenz Meier
</t>
    </r>
    <r>
      <rPr>
        <sz val="10"/>
        <color rgb="FF00B050"/>
        <rFont val="Century Gothic"/>
        <family val="2"/>
        <scheme val="minor"/>
      </rPr>
      <t xml:space="preserve">180894 - L - USB - VD
</t>
    </r>
    <r>
      <rPr>
        <sz val="10"/>
        <color rgb="FFFF0000"/>
        <rFont val="Century Gothic"/>
        <family val="2"/>
        <scheme val="minor"/>
      </rPr>
      <t xml:space="preserve">180896 - M1 - Losinger - VD
</t>
    </r>
    <r>
      <rPr>
        <sz val="10"/>
        <color rgb="FF00B050"/>
        <rFont val="Century Gothic"/>
        <family val="2"/>
        <scheme val="minor"/>
      </rPr>
      <t>180898 - L - ECM - VD</t>
    </r>
  </si>
  <si>
    <r>
      <t xml:space="preserve">Laurent absent
</t>
    </r>
    <r>
      <rPr>
        <sz val="10"/>
        <color rgb="FFFF0000"/>
        <rFont val="Century Gothic"/>
        <family val="2"/>
        <scheme val="minor"/>
      </rPr>
      <t>180809 - M1 - Orllati - VD
356 - M1 - Simond - VD</t>
    </r>
  </si>
  <si>
    <r>
      <t xml:space="preserve">Changement de pneus Audi - Vw - Duster roues et batteries
</t>
    </r>
    <r>
      <rPr>
        <sz val="10"/>
        <color rgb="FF00B050"/>
        <rFont val="Century Gothic"/>
        <family val="2"/>
        <scheme val="minor"/>
      </rPr>
      <t>180903 - L - Grisoni - FR
180902 - L - Funbody - VD
180904 - L - Getaz-Miauton - VD</t>
    </r>
    <r>
      <rPr>
        <sz val="10"/>
        <color theme="1" tint="0.249977111117893"/>
        <rFont val="Century Gothic"/>
        <family val="2"/>
        <scheme val="minor"/>
      </rPr>
      <t xml:space="preserve">
</t>
    </r>
    <r>
      <rPr>
        <sz val="10"/>
        <color rgb="FFFF0000"/>
        <rFont val="Century Gothic"/>
        <family val="2"/>
        <scheme val="minor"/>
      </rPr>
      <t>Après-midi 180871 - M2 - Commune de Martigny - VS</t>
    </r>
  </si>
  <si>
    <r>
      <t xml:space="preserve">Arrivage Mades
</t>
    </r>
    <r>
      <rPr>
        <sz val="10"/>
        <color rgb="FFFF0000"/>
        <rFont val="Century Gothic"/>
        <family val="2"/>
        <scheme val="minor"/>
      </rPr>
      <t xml:space="preserve">180810 - M2 - Implenia - VD
</t>
    </r>
    <r>
      <rPr>
        <sz val="10"/>
        <color rgb="FF7030A0"/>
        <rFont val="Century Gothic"/>
        <family val="2"/>
        <scheme val="minor"/>
      </rPr>
      <t>180907 - F - Steiner</t>
    </r>
  </si>
  <si>
    <r>
      <t xml:space="preserve">180906 - M2 - HRS -VD
180810 - M2 - Implenia - VD
180910 - M2 - Steiner - GE
180911 - M2 - HRS - GE
</t>
    </r>
    <r>
      <rPr>
        <sz val="10"/>
        <color rgb="FF00B050"/>
        <rFont val="Century Gothic"/>
        <family val="2"/>
        <scheme val="minor"/>
      </rPr>
      <t>180920 - L - Frutiger - VD</t>
    </r>
  </si>
  <si>
    <r>
      <rPr>
        <sz val="10"/>
        <color rgb="FF00B050"/>
        <rFont val="Century Gothic"/>
        <family val="2"/>
        <scheme val="minor"/>
      </rPr>
      <t>180901 - L - Riedo - VD</t>
    </r>
    <r>
      <rPr>
        <sz val="10"/>
        <color theme="1" tint="0.249977111117893"/>
        <rFont val="Century Gothic"/>
        <family val="2"/>
        <scheme val="minor"/>
      </rPr>
      <t xml:space="preserve">
</t>
    </r>
    <r>
      <rPr>
        <sz val="10"/>
        <color rgb="FF00B050"/>
        <rFont val="Century Gothic"/>
        <family val="2"/>
        <scheme val="minor"/>
      </rPr>
      <t xml:space="preserve">180909 - L - Technogrues - VD
180918 - L - Pression - GE
180912 - L - Perret - GE
</t>
    </r>
    <r>
      <rPr>
        <sz val="10"/>
        <color rgb="FF0070C0"/>
        <rFont val="Century Gothic"/>
        <family val="2"/>
        <scheme val="minor"/>
      </rPr>
      <t>180916 - R - Lecoultre</t>
    </r>
    <r>
      <rPr>
        <sz val="10"/>
        <color theme="1" tint="0.249977111117893"/>
        <rFont val="Century Gothic"/>
        <family val="2"/>
        <scheme val="minor"/>
      </rPr>
      <t xml:space="preserve">
</t>
    </r>
    <r>
      <rPr>
        <sz val="10"/>
        <color rgb="FF7030A0"/>
        <rFont val="Century Gothic"/>
        <family val="2"/>
        <scheme val="minor"/>
      </rPr>
      <t xml:space="preserve">180917 - F - Orllati
</t>
    </r>
    <r>
      <rPr>
        <sz val="10"/>
        <color rgb="FF0070C0"/>
        <rFont val="Century Gothic"/>
        <family val="2"/>
        <scheme val="minor"/>
      </rPr>
      <t>180921 - R - Sola</t>
    </r>
  </si>
  <si>
    <r>
      <rPr>
        <sz val="10"/>
        <color rgb="FF0070C0"/>
        <rFont val="Century Gothic"/>
        <family val="2"/>
        <scheme val="minor"/>
      </rPr>
      <t>180929 - R - Orllati
180923 - R - Implenia</t>
    </r>
    <r>
      <rPr>
        <sz val="10"/>
        <color rgb="FFFF0000"/>
        <rFont val="Century Gothic"/>
        <family val="2"/>
        <scheme val="minor"/>
      </rPr>
      <t xml:space="preserve">
180753 - M2 - Gitec - VD
180827 - 180927 - M2 - Logifleet - VD
</t>
    </r>
    <r>
      <rPr>
        <sz val="10"/>
        <color rgb="FF7030A0"/>
        <rFont val="Century Gothic"/>
        <family val="2"/>
        <scheme val="minor"/>
      </rPr>
      <t>180899 - F - Piasio</t>
    </r>
  </si>
  <si>
    <r>
      <t xml:space="preserve">Amener pneus à Aclens
180835 - M1 - Simond - VD
</t>
    </r>
    <r>
      <rPr>
        <sz val="10"/>
        <color rgb="FF00B050"/>
        <rFont val="Century Gothic"/>
        <family val="2"/>
        <scheme val="minor"/>
      </rPr>
      <t xml:space="preserve">180881 - L - Ivo Fovanna - VD
180914 - L - AD - VD
180933 - L - Fun Body - VD
</t>
    </r>
    <r>
      <rPr>
        <sz val="10"/>
        <color rgb="FF0070C0"/>
        <rFont val="Century Gothic"/>
        <family val="2"/>
        <scheme val="minor"/>
      </rPr>
      <t>180905 - R - ARGE</t>
    </r>
  </si>
  <si>
    <r>
      <rPr>
        <sz val="10"/>
        <rFont val="Century Gothic"/>
        <family val="2"/>
        <scheme val="minor"/>
      </rPr>
      <t>Sandra absente
Pneus VW</t>
    </r>
    <r>
      <rPr>
        <sz val="10"/>
        <color rgb="FF7030A0"/>
        <rFont val="Century Gothic"/>
        <family val="2"/>
        <scheme val="minor"/>
      </rPr>
      <t xml:space="preserve">
180913 - F - Sofia
</t>
    </r>
    <r>
      <rPr>
        <sz val="10"/>
        <color rgb="FF0070C0"/>
        <rFont val="Century Gothic"/>
        <family val="2"/>
        <scheme val="minor"/>
      </rPr>
      <t xml:space="preserve">180899 - R - Piasio
</t>
    </r>
    <r>
      <rPr>
        <sz val="10"/>
        <color rgb="FF00B050"/>
        <rFont val="Century Gothic"/>
        <family val="2"/>
        <scheme val="minor"/>
      </rPr>
      <t xml:space="preserve">180924 - L - Perrin - GE
180931 - L - Scrasa - GE
180935 - L - Marti - GE
180897 - L - Piasio - GE
</t>
    </r>
    <r>
      <rPr>
        <sz val="10"/>
        <color rgb="FF0070C0"/>
        <rFont val="Century Gothic"/>
        <family val="2"/>
        <scheme val="minor"/>
      </rPr>
      <t xml:space="preserve">Perret table à relivrer
</t>
    </r>
    <r>
      <rPr>
        <sz val="10"/>
        <color rgb="FFFF0000"/>
        <rFont val="Century Gothic"/>
        <family val="2"/>
        <scheme val="minor"/>
      </rPr>
      <t>180900 - M1 - Ledixa - VD</t>
    </r>
  </si>
  <si>
    <r>
      <rPr>
        <sz val="10"/>
        <color rgb="FF00B050"/>
        <rFont val="Century Gothic"/>
        <family val="2"/>
        <scheme val="minor"/>
      </rPr>
      <t>180909 - L - Technogrues - FR</t>
    </r>
    <r>
      <rPr>
        <sz val="10"/>
        <color rgb="FFFF0000"/>
        <rFont val="Century Gothic"/>
        <family val="2"/>
        <scheme val="minor"/>
      </rPr>
      <t xml:space="preserve">
</t>
    </r>
    <r>
      <rPr>
        <sz val="10"/>
        <color rgb="FF00B050"/>
        <rFont val="Century Gothic"/>
        <family val="2"/>
        <scheme val="minor"/>
      </rPr>
      <t>180938 - L - Frutiger - BE</t>
    </r>
    <r>
      <rPr>
        <sz val="10"/>
        <color rgb="FFFF0000"/>
        <rFont val="Century Gothic"/>
        <family val="2"/>
        <scheme val="minor"/>
      </rPr>
      <t xml:space="preserve">
180950 - M1 - Implenia - LU
180821 - M1 - Fagsi - BL
180858 - M1 - Givimed - FR
</t>
    </r>
    <r>
      <rPr>
        <sz val="10"/>
        <color rgb="FF7030A0"/>
        <rFont val="Century Gothic"/>
        <family val="2"/>
        <scheme val="minor"/>
      </rPr>
      <t xml:space="preserve">180951 - F - Colas 
180874 - F - Perret
</t>
    </r>
    <r>
      <rPr>
        <sz val="10"/>
        <color rgb="FF0070C0"/>
        <rFont val="Century Gothic"/>
        <family val="2"/>
        <scheme val="minor"/>
      </rPr>
      <t>180948 - R - Equipements PRO</t>
    </r>
  </si>
  <si>
    <r>
      <rPr>
        <sz val="10"/>
        <color rgb="FFFF0000"/>
        <rFont val="Century Gothic"/>
        <family val="2"/>
        <scheme val="minor"/>
      </rPr>
      <t xml:space="preserve">180955 - M1 - AC Immune - VD
</t>
    </r>
    <r>
      <rPr>
        <sz val="10"/>
        <rFont val="Century Gothic"/>
        <family val="2"/>
        <scheme val="minor"/>
      </rPr>
      <t>1719 - Landi</t>
    </r>
    <r>
      <rPr>
        <sz val="10"/>
        <color rgb="FFFF0000"/>
        <rFont val="Century Gothic"/>
        <family val="2"/>
        <scheme val="minor"/>
      </rPr>
      <t xml:space="preserve">
</t>
    </r>
    <r>
      <rPr>
        <sz val="10"/>
        <color rgb="FF00B050"/>
        <rFont val="Century Gothic"/>
        <family val="2"/>
        <scheme val="minor"/>
      </rPr>
      <t xml:space="preserve">180946 - L - Fun Body - VD
</t>
    </r>
    <r>
      <rPr>
        <sz val="10"/>
        <color rgb="FFFF0000"/>
        <rFont val="Century Gothic"/>
        <family val="2"/>
        <scheme val="minor"/>
      </rPr>
      <t xml:space="preserve">180956 - M1 - Ledixa - VD
</t>
    </r>
    <r>
      <rPr>
        <sz val="10"/>
        <color rgb="FF7030A0"/>
        <rFont val="Century Gothic"/>
        <family val="2"/>
        <scheme val="minor"/>
      </rPr>
      <t xml:space="preserve">180959 - F - Perrin
</t>
    </r>
    <r>
      <rPr>
        <sz val="10"/>
        <color rgb="FF0070C0"/>
        <rFont val="Century Gothic"/>
        <family val="2"/>
        <scheme val="minor"/>
      </rPr>
      <t xml:space="preserve">180856 - R - Galenicare
</t>
    </r>
    <r>
      <rPr>
        <sz val="10"/>
        <color rgb="FF00B050"/>
        <rFont val="Century Gothic"/>
        <family val="2"/>
        <scheme val="minor"/>
      </rPr>
      <t>180961 - L - ECM - VD</t>
    </r>
  </si>
  <si>
    <r>
      <rPr>
        <sz val="10"/>
        <color rgb="FF0070C0"/>
        <rFont val="Century Gothic"/>
        <family val="2"/>
        <scheme val="minor"/>
      </rPr>
      <t>180926 - R - Birchmeier</t>
    </r>
    <r>
      <rPr>
        <sz val="10"/>
        <color rgb="FFFF0000"/>
        <rFont val="Century Gothic"/>
        <family val="2"/>
        <scheme val="minor"/>
      </rPr>
      <t xml:space="preserve">
180876 - M1 - AC Immune - VD
</t>
    </r>
    <r>
      <rPr>
        <sz val="10"/>
        <color rgb="FF00B050"/>
        <rFont val="Century Gothic"/>
        <family val="2"/>
        <scheme val="minor"/>
      </rPr>
      <t xml:space="preserve">180942 - L - Pizzera Poletti - VD
180947 - L - Orllati - VD
</t>
    </r>
    <r>
      <rPr>
        <sz val="10"/>
        <color rgb="FF0070C0"/>
        <rFont val="Century Gothic"/>
        <family val="2"/>
        <scheme val="minor"/>
      </rPr>
      <t xml:space="preserve">180954 - R - Implenia
</t>
    </r>
    <r>
      <rPr>
        <sz val="10"/>
        <color rgb="FFFF0000"/>
        <rFont val="Century Gothic"/>
        <family val="2"/>
        <scheme val="minor"/>
      </rPr>
      <t>180964 - M1 - Losinger - VD</t>
    </r>
  </si>
  <si>
    <r>
      <t>Sandra Absente</t>
    </r>
    <r>
      <rPr>
        <sz val="10"/>
        <color rgb="FF00B050"/>
        <rFont val="Century Gothic"/>
        <family val="2"/>
        <scheme val="minor"/>
      </rPr>
      <t xml:space="preserve">
180963 - L - Grisoni - FR
180962 - L - AVESCO - FR
180965 - L - Riedo - FR
180939 - L - Bieri - NE
</t>
    </r>
    <r>
      <rPr>
        <sz val="10"/>
        <color rgb="FFFF0000"/>
        <rFont val="Century Gothic"/>
        <family val="2"/>
        <scheme val="minor"/>
      </rPr>
      <t>180960 - M1 - Fiduciaire Longchamp - VD</t>
    </r>
    <r>
      <rPr>
        <sz val="10"/>
        <color rgb="FF00B050"/>
        <rFont val="Century Gothic"/>
        <family val="2"/>
        <scheme val="minor"/>
      </rPr>
      <t xml:space="preserve">
</t>
    </r>
  </si>
  <si>
    <r>
      <rPr>
        <sz val="10"/>
        <color rgb="FF00B050"/>
        <rFont val="Century Gothic"/>
        <family val="2"/>
        <scheme val="minor"/>
      </rPr>
      <t xml:space="preserve">180968 - L - Frutiger - VD + détartrage
</t>
    </r>
    <r>
      <rPr>
        <sz val="10"/>
        <color rgb="FF0070C0"/>
        <rFont val="Century Gothic"/>
        <family val="2"/>
        <scheme val="minor"/>
      </rPr>
      <t>180970 - R - Zed
180971 - R - Perrin
180966 - R - Loxam</t>
    </r>
    <r>
      <rPr>
        <sz val="10"/>
        <color theme="1" tint="0.249977111117893"/>
        <rFont val="Century Gothic"/>
        <family val="2"/>
        <scheme val="minor"/>
      </rPr>
      <t xml:space="preserve">
14.00 container mades</t>
    </r>
  </si>
  <si>
    <r>
      <t xml:space="preserve">7.00 container mades
</t>
    </r>
    <r>
      <rPr>
        <sz val="10"/>
        <color rgb="FF0070C0"/>
        <rFont val="Century Gothic"/>
        <family val="2"/>
        <scheme val="minor"/>
      </rPr>
      <t>180749 180869 - R - Implenia
180748 - R - Pression Mugnier</t>
    </r>
  </si>
  <si>
    <r>
      <t xml:space="preserve">180915 - M2 - Porr - TI
</t>
    </r>
    <r>
      <rPr>
        <sz val="10"/>
        <color rgb="FF7030A0"/>
        <rFont val="Century Gothic"/>
        <family val="2"/>
        <scheme val="minor"/>
      </rPr>
      <t xml:space="preserve">180784 - F - Bollini
</t>
    </r>
    <r>
      <rPr>
        <sz val="10"/>
        <rFont val="Century Gothic"/>
        <family val="2"/>
        <scheme val="minor"/>
      </rPr>
      <t>AUDI Bremblens</t>
    </r>
  </si>
  <si>
    <r>
      <rPr>
        <sz val="10"/>
        <color rgb="FF00B050"/>
        <rFont val="Century Gothic"/>
        <family val="2"/>
        <scheme val="minor"/>
      </rPr>
      <t>180976 - L - Di Dio - VD
180975 - L - Stirnimann - VD</t>
    </r>
    <r>
      <rPr>
        <sz val="10"/>
        <color theme="1" tint="0.249977111117893"/>
        <rFont val="Century Gothic"/>
        <family val="2"/>
        <scheme val="minor"/>
      </rPr>
      <t xml:space="preserve">
</t>
    </r>
    <r>
      <rPr>
        <sz val="10"/>
        <color rgb="FFFF0000"/>
        <rFont val="Century Gothic"/>
        <family val="2"/>
        <scheme val="minor"/>
      </rPr>
      <t>366 - SAV - VD</t>
    </r>
  </si>
  <si>
    <t>180977 - M2 - ARGE - VS</t>
  </si>
  <si>
    <r>
      <rPr>
        <sz val="10"/>
        <color rgb="FF0070C0"/>
        <rFont val="Century Gothic"/>
        <family val="2"/>
        <scheme val="minor"/>
      </rPr>
      <t>180980 - R - Frutiger</t>
    </r>
    <r>
      <rPr>
        <sz val="10"/>
        <color rgb="FF00B050"/>
        <rFont val="Century Gothic"/>
        <family val="2"/>
        <scheme val="minor"/>
      </rPr>
      <t xml:space="preserve">
180936 - L - Grisoni - VD</t>
    </r>
    <r>
      <rPr>
        <sz val="10"/>
        <color rgb="FFFF0000"/>
        <rFont val="Century Gothic"/>
        <family val="2"/>
        <scheme val="minor"/>
      </rPr>
      <t xml:space="preserve">
180978 - M1 - ERNE - VD 13.00</t>
    </r>
    <r>
      <rPr>
        <sz val="10"/>
        <color theme="1" tint="0.249977111117893"/>
        <rFont val="Century Gothic"/>
        <family val="2"/>
        <scheme val="minor"/>
      </rPr>
      <t xml:space="preserve">
</t>
    </r>
    <r>
      <rPr>
        <sz val="10"/>
        <color rgb="FF7030A0"/>
        <rFont val="Century Gothic"/>
        <family val="2"/>
        <scheme val="minor"/>
      </rPr>
      <t>180873 - F - Bernasconi</t>
    </r>
  </si>
  <si>
    <t>180979 - M2 - AC Immune - VD</t>
  </si>
  <si>
    <r>
      <t xml:space="preserve">Laurent absent
</t>
    </r>
    <r>
      <rPr>
        <sz val="10"/>
        <color rgb="FF7030A0"/>
        <rFont val="Century Gothic"/>
        <family val="2"/>
        <scheme val="minor"/>
      </rPr>
      <t>180892 - F - Perret</t>
    </r>
  </si>
  <si>
    <r>
      <t>180992 - L - ECM - VD</t>
    </r>
    <r>
      <rPr>
        <sz val="10"/>
        <color rgb="FFFF0000"/>
        <rFont val="Century Gothic"/>
        <family val="2"/>
        <scheme val="minor"/>
      </rPr>
      <t xml:space="preserve">
</t>
    </r>
    <r>
      <rPr>
        <sz val="10"/>
        <color rgb="FF00B050"/>
        <rFont val="Century Gothic"/>
        <family val="2"/>
        <scheme val="minor"/>
      </rPr>
      <t xml:space="preserve">180985 - L - Marti - GE
180987 - L - Maulini - GE
</t>
    </r>
    <r>
      <rPr>
        <sz val="10"/>
        <color rgb="FF7030A0"/>
        <rFont val="Century Gothic"/>
        <family val="2"/>
        <scheme val="minor"/>
      </rPr>
      <t>180988 - F - Perret</t>
    </r>
  </si>
  <si>
    <r>
      <rPr>
        <sz val="10"/>
        <color rgb="FF0070C0"/>
        <rFont val="Century Gothic"/>
        <family val="2"/>
        <scheme val="minor"/>
      </rPr>
      <t xml:space="preserve">180993 - R - Stirnimann
</t>
    </r>
    <r>
      <rPr>
        <sz val="10"/>
        <color rgb="FF7030A0"/>
        <rFont val="Century Gothic"/>
        <family val="2"/>
        <scheme val="minor"/>
      </rPr>
      <t>180908 - F - Bernasconi</t>
    </r>
    <r>
      <rPr>
        <sz val="10"/>
        <color rgb="FF00B050"/>
        <rFont val="Century Gothic"/>
        <family val="2"/>
        <scheme val="minor"/>
      </rPr>
      <t xml:space="preserve">
180943 - L - Pizzera Poletti - VD</t>
    </r>
    <r>
      <rPr>
        <sz val="10"/>
        <color rgb="FFFF0000"/>
        <rFont val="Century Gothic"/>
        <family val="2"/>
        <scheme val="minor"/>
      </rPr>
      <t xml:space="preserve">
180877 - M2 - Induni - VD
</t>
    </r>
    <r>
      <rPr>
        <sz val="10"/>
        <color rgb="FF00B050"/>
        <rFont val="Century Gothic"/>
        <family val="2"/>
        <scheme val="minor"/>
      </rPr>
      <t>367 - SAV - Amener 4 tables Induni à Cameca</t>
    </r>
  </si>
  <si>
    <r>
      <t xml:space="preserve">180984 - L - Marti - GE - LE MATIN
</t>
    </r>
    <r>
      <rPr>
        <sz val="10"/>
        <color rgb="FFFF0000"/>
        <rFont val="Century Gothic"/>
        <family val="2"/>
        <scheme val="minor"/>
      </rPr>
      <t>180887 - M1 - Givimed - FR</t>
    </r>
    <r>
      <rPr>
        <sz val="10"/>
        <color rgb="FF00B050"/>
        <rFont val="Century Gothic"/>
        <family val="2"/>
        <scheme val="minor"/>
      </rPr>
      <t xml:space="preserve">
180967 - L - Ropraz - FR
</t>
    </r>
    <r>
      <rPr>
        <sz val="10"/>
        <color rgb="FF0070C0"/>
        <rFont val="Century Gothic"/>
        <family val="2"/>
        <scheme val="minor"/>
      </rPr>
      <t xml:space="preserve">180925 - R - Induni
</t>
    </r>
    <r>
      <rPr>
        <sz val="10"/>
        <color theme="1"/>
        <rFont val="Century Gothic"/>
        <family val="2"/>
        <scheme val="minor"/>
      </rPr>
      <t>Sandra congé</t>
    </r>
  </si>
  <si>
    <r>
      <rPr>
        <sz val="10"/>
        <color rgb="FF00B050"/>
        <rFont val="Century Gothic"/>
        <family val="2"/>
        <scheme val="minor"/>
      </rPr>
      <t xml:space="preserve">180813 - L - Mine d'Or - VD
180940 - L - Transvoirie - VD
180957 - L - Marti - VD
</t>
    </r>
    <r>
      <rPr>
        <sz val="10"/>
        <color theme="1"/>
        <rFont val="Century Gothic"/>
        <family val="2"/>
        <scheme val="minor"/>
      </rPr>
      <t>Sandra congé</t>
    </r>
  </si>
  <si>
    <r>
      <rPr>
        <sz val="10"/>
        <color rgb="FF00B050"/>
        <rFont val="Century Gothic"/>
        <family val="2"/>
        <scheme val="minor"/>
      </rPr>
      <t>180937 - L - Implenia - VS</t>
    </r>
    <r>
      <rPr>
        <sz val="10"/>
        <color rgb="FFFF0000"/>
        <rFont val="Century Gothic"/>
        <family val="2"/>
        <scheme val="minor"/>
      </rPr>
      <t xml:space="preserve">
Récupérarer Lisse Equipement PRO
</t>
    </r>
    <r>
      <rPr>
        <sz val="10"/>
        <color rgb="FF0070C0"/>
        <rFont val="Century Gothic"/>
        <family val="2"/>
        <scheme val="minor"/>
      </rPr>
      <t>180872 - R - Sound Patch</t>
    </r>
  </si>
  <si>
    <r>
      <rPr>
        <sz val="10"/>
        <color rgb="FF00B050"/>
        <rFont val="Century Gothic"/>
        <family val="2"/>
        <scheme val="minor"/>
      </rPr>
      <t>180941 - L - Nasca - VD</t>
    </r>
    <r>
      <rPr>
        <sz val="10"/>
        <color rgb="FFFF0000"/>
        <rFont val="Century Gothic"/>
        <family val="2"/>
        <scheme val="minor"/>
      </rPr>
      <t xml:space="preserve">
180972 - M1 - Petit Toi - VD - 10.00 - LE MATIN
180930 - M1 - Implenia - VD APRES - MIDI</t>
    </r>
  </si>
  <si>
    <t>180882 - 180886 - M2 - Induni - VD
Laurent va récupére mes parents à l'aéroport
180879 - M2 - AC Immune + Prise? - VD</t>
  </si>
  <si>
    <r>
      <rPr>
        <sz val="10"/>
        <rFont val="Century Gothic"/>
        <family val="2"/>
        <scheme val="minor"/>
      </rPr>
      <t>Arrivage MADES</t>
    </r>
    <r>
      <rPr>
        <sz val="10"/>
        <color rgb="FFFF0000"/>
        <rFont val="Century Gothic"/>
        <family val="2"/>
        <scheme val="minor"/>
      </rPr>
      <t xml:space="preserve">
180892 - M2 - Orllati - VD
</t>
    </r>
    <r>
      <rPr>
        <sz val="10"/>
        <color rgb="FF7030A0"/>
        <rFont val="Century Gothic"/>
        <family val="2"/>
        <scheme val="minor"/>
      </rPr>
      <t xml:space="preserve">181000 - F - Richard
</t>
    </r>
    <r>
      <rPr>
        <sz val="10"/>
        <color rgb="FF0070C0"/>
        <rFont val="Century Gothic"/>
        <family val="2"/>
        <scheme val="minor"/>
      </rPr>
      <t xml:space="preserve">180953 - R - Sola
</t>
    </r>
    <r>
      <rPr>
        <sz val="10"/>
        <color rgb="FF7030A0"/>
        <rFont val="Century Gothic"/>
        <family val="2"/>
        <scheme val="minor"/>
      </rPr>
      <t>181001 - F - Createvents</t>
    </r>
  </si>
  <si>
    <r>
      <t xml:space="preserve">180878 - M2 - Boxplay - VD
180011 - M2 - ERNE - VD + récupérer un micro-ondes
</t>
    </r>
    <r>
      <rPr>
        <sz val="10"/>
        <color rgb="FF7030A0"/>
        <rFont val="Century Gothic"/>
        <family val="2"/>
        <scheme val="minor"/>
      </rPr>
      <t xml:space="preserve">181007 - F - Orllati
</t>
    </r>
    <r>
      <rPr>
        <sz val="10"/>
        <color rgb="FF00B050"/>
        <rFont val="Century Gothic"/>
        <family val="2"/>
        <scheme val="minor"/>
      </rPr>
      <t xml:space="preserve">180999 - L - Perret - GE
181012 - L - Cameca - VD
</t>
    </r>
    <r>
      <rPr>
        <sz val="10"/>
        <color rgb="FFFF0000"/>
        <rFont val="Century Gothic"/>
        <family val="2"/>
        <scheme val="minor"/>
      </rPr>
      <t>181015 - M1 - AC Immune - VD</t>
    </r>
    <r>
      <rPr>
        <sz val="10"/>
        <color rgb="FF00B050"/>
        <rFont val="Century Gothic"/>
        <family val="2"/>
        <scheme val="minor"/>
      </rPr>
      <t xml:space="preserve">
</t>
    </r>
    <r>
      <rPr>
        <sz val="10"/>
        <color rgb="FF0070C0"/>
        <rFont val="Century Gothic"/>
        <family val="2"/>
        <scheme val="minor"/>
      </rPr>
      <t>180944 - R - Nasca
181014 - R - Bosson</t>
    </r>
  </si>
  <si>
    <r>
      <rPr>
        <sz val="10"/>
        <color rgb="FF00B050"/>
        <rFont val="Century Gothic"/>
        <family val="2"/>
        <scheme val="minor"/>
      </rPr>
      <t>180803 - 180723 - L - Riedo - FR
180997 - L - Frutiger - BE</t>
    </r>
    <r>
      <rPr>
        <sz val="10"/>
        <color rgb="FFFF0000"/>
        <rFont val="Century Gothic"/>
        <family val="2"/>
        <scheme val="minor"/>
      </rPr>
      <t xml:space="preserve">
180995 - M2 - Steiner - ZH
181013 - M2 - Steiner - ZH
</t>
    </r>
    <r>
      <rPr>
        <sz val="10"/>
        <color rgb="FF0070C0"/>
        <rFont val="Century Gothic"/>
        <family val="2"/>
        <scheme val="minor"/>
      </rPr>
      <t>181019 - R - Buchs</t>
    </r>
  </si>
  <si>
    <t>Sandra congé
nettoyage des camions
Inventaire?</t>
  </si>
  <si>
    <r>
      <t xml:space="preserve">181022 - L - Membrez - VD
</t>
    </r>
    <r>
      <rPr>
        <sz val="10"/>
        <color rgb="FFFF0000"/>
        <rFont val="Century Gothic"/>
        <family val="2"/>
        <scheme val="minor"/>
      </rPr>
      <t>181002 - M1 - Geraldine - VD 8.00
180928 - M1 - Logifleet - VD
180945 365 SAV - M1 - Gitec - VD + SAV bloc elec.
181006 - M1 - Ferroflex - VD</t>
    </r>
  </si>
  <si>
    <r>
      <rPr>
        <sz val="10"/>
        <color rgb="FF00B050"/>
        <rFont val="Century Gothic"/>
        <family val="2"/>
        <scheme val="minor"/>
      </rPr>
      <t xml:space="preserve">180948 - L - Implenia - VD
181025 - L - Martin - VD
</t>
    </r>
    <r>
      <rPr>
        <sz val="10"/>
        <color theme="1"/>
        <rFont val="Century Gothic"/>
        <family val="2"/>
        <scheme val="minor"/>
      </rPr>
      <t>1757 - PRODEGA</t>
    </r>
    <r>
      <rPr>
        <sz val="10"/>
        <color theme="1" tint="0.249977111117893"/>
        <rFont val="Century Gothic"/>
        <family val="2"/>
        <scheme val="minor"/>
      </rPr>
      <t xml:space="preserve">
1756 - Landi
</t>
    </r>
    <r>
      <rPr>
        <sz val="10"/>
        <color rgb="FF00B050"/>
        <rFont val="Century Gothic"/>
        <family val="2"/>
        <scheme val="minor"/>
      </rPr>
      <t>180941 - L - Nasca - VD
181010 - L - ECM - VD</t>
    </r>
    <r>
      <rPr>
        <sz val="10"/>
        <color theme="1" tint="0.249977111117893"/>
        <rFont val="Century Gothic"/>
        <family val="2"/>
        <scheme val="minor"/>
      </rPr>
      <t xml:space="preserve">
Sandra congé</t>
    </r>
  </si>
  <si>
    <r>
      <rPr>
        <sz val="10"/>
        <color rgb="FFFF0000"/>
        <rFont val="Century Gothic"/>
        <family val="2"/>
        <scheme val="minor"/>
      </rPr>
      <t>181016 - M2 - Orllati - VD</t>
    </r>
    <r>
      <rPr>
        <sz val="10"/>
        <color theme="1" tint="0.249977111117893"/>
        <rFont val="Century Gothic"/>
        <family val="2"/>
        <scheme val="minor"/>
      </rPr>
      <t xml:space="preserve">
Sandra congé</t>
    </r>
  </si>
  <si>
    <t xml:space="preserve">181029 - R - Banos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</si>
</sst>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mm\ yyyy"/>
    <numFmt numFmtId="165" formatCode="d"/>
  </numFmts>
  <fonts count="25">
    <font>
      <sz val="11"/>
      <name val="Century Gothic"/>
      <family val="2"/>
      <scheme val="minor"/>
    </font>
    <font>
      <sz val="8"/>
      <name val="Arial"/>
      <family val="2"/>
    </font>
    <font>
      <b/>
      <sz val="11"/>
      <color theme="0"/>
      <name val="Century Gothic"/>
      <family val="2"/>
      <scheme val="minor"/>
    </font>
    <font>
      <sz val="11"/>
      <color theme="0"/>
      <name val="Century Gothic"/>
      <family val="2"/>
      <scheme val="minor"/>
    </font>
    <font>
      <sz val="11"/>
      <name val="Arial"/>
      <family val="2"/>
    </font>
    <font>
      <sz val="11"/>
      <name val="Century Gothic"/>
      <family val="2"/>
    </font>
    <font>
      <sz val="11"/>
      <name val="Century Gothic"/>
      <family val="2"/>
      <scheme val="minor"/>
    </font>
    <font>
      <sz val="11"/>
      <color theme="1" tint="0.249977111117893"/>
      <name val="Arial"/>
      <family val="2"/>
    </font>
    <font>
      <sz val="11"/>
      <color theme="1" tint="0.249977111117893"/>
      <name val="Century Gothic"/>
      <family val="2"/>
      <scheme val="minor"/>
    </font>
    <font>
      <b/>
      <sz val="28"/>
      <color theme="1" tint="0.34998626667073579"/>
      <name val="Century Gothic"/>
      <family val="2"/>
      <scheme val="minor"/>
    </font>
    <font>
      <b/>
      <sz val="14"/>
      <color theme="0"/>
      <name val="Century Gothic"/>
      <family val="2"/>
      <scheme val="minor"/>
    </font>
    <font>
      <sz val="14"/>
      <color theme="1" tint="0.34998626667073579"/>
      <name val="Century Gothic"/>
      <family val="2"/>
      <scheme val="minor"/>
    </font>
    <font>
      <sz val="10"/>
      <color theme="1" tint="0.249977111117893"/>
      <name val="Century Gothic"/>
      <family val="2"/>
      <scheme val="minor"/>
    </font>
    <font>
      <sz val="14"/>
      <color theme="1" tint="0.249977111117893"/>
      <name val="Century Gothic"/>
      <family val="2"/>
      <scheme val="minor"/>
    </font>
    <font>
      <b/>
      <sz val="9"/>
      <color indexed="81"/>
      <name val="Geneva"/>
    </font>
    <font>
      <sz val="10"/>
      <color rgb="FF7030A0"/>
      <name val="Century Gothic"/>
      <family val="2"/>
      <scheme val="minor"/>
    </font>
    <font>
      <sz val="10"/>
      <color rgb="FFFF0000"/>
      <name val="Century Gothic"/>
      <family val="2"/>
      <scheme val="minor"/>
    </font>
    <font>
      <sz val="10"/>
      <color rgb="FF00B050"/>
      <name val="Century Gothic"/>
      <family val="2"/>
      <scheme val="minor"/>
    </font>
    <font>
      <sz val="10"/>
      <color rgb="FF0070C0"/>
      <name val="Century Gothic"/>
      <family val="2"/>
      <scheme val="minor"/>
    </font>
    <font>
      <b/>
      <sz val="10"/>
      <color rgb="FFFF0000"/>
      <name val="Century Gothic"/>
      <family val="2"/>
      <scheme val="minor"/>
    </font>
    <font>
      <sz val="10"/>
      <name val="Century Gothic"/>
      <family val="2"/>
      <scheme val="minor"/>
    </font>
    <font>
      <b/>
      <sz val="11"/>
      <name val="Arial"/>
      <family val="2"/>
    </font>
    <font>
      <b/>
      <sz val="11"/>
      <name val="Century Gothic"/>
      <family val="2"/>
    </font>
    <font>
      <sz val="10"/>
      <color theme="1"/>
      <name val="Century Gothic"/>
      <family val="2"/>
      <scheme val="minor"/>
    </font>
    <font>
      <sz val="10"/>
      <color rgb="FF002060"/>
      <name val="Century Gothic"/>
      <family val="2"/>
      <scheme val="minor"/>
    </font>
  </fonts>
  <fills count="7">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4"/>
      </patternFill>
    </fill>
    <fill>
      <patternFill patternType="solid">
        <fgColor theme="4" tint="0.59999389629810485"/>
        <bgColor indexed="65"/>
      </patternFill>
    </fill>
    <fill>
      <patternFill patternType="solid">
        <fgColor theme="8"/>
      </patternFill>
    </fill>
  </fills>
  <borders count="26">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bottom style="thin">
        <color theme="4" tint="0.39994506668294322"/>
      </bottom>
      <diagonal/>
    </border>
    <border>
      <left style="thick">
        <color theme="1" tint="0.499984740745262"/>
      </left>
      <right style="thick">
        <color theme="1" tint="0.499984740745262"/>
      </right>
      <top style="thick">
        <color theme="1" tint="0.499984740745262"/>
      </top>
      <bottom style="thick">
        <color theme="1" tint="0.499984740745262"/>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
      <left style="medium">
        <color theme="4" tint="-0.24994659260841701"/>
      </left>
      <right style="thin">
        <color theme="4" tint="0.39994506668294322"/>
      </right>
      <top style="thin">
        <color theme="4" tint="0.39994506668294322"/>
      </top>
      <bottom style="thin">
        <color theme="4" tint="0.39994506668294322"/>
      </bottom>
      <diagonal/>
    </border>
    <border>
      <left style="thin">
        <color theme="4" tint="0.39994506668294322"/>
      </left>
      <right style="medium">
        <color theme="4" tint="-0.24994659260841701"/>
      </right>
      <top style="thin">
        <color theme="4" tint="0.39994506668294322"/>
      </top>
      <bottom style="thin">
        <color theme="4" tint="0.39994506668294322"/>
      </bottom>
      <diagonal/>
    </border>
    <border>
      <left style="thin">
        <color theme="4" tint="0.39994506668294322"/>
      </left>
      <right style="medium">
        <color theme="4" tint="-0.24994659260841701"/>
      </right>
      <top/>
      <bottom style="thin">
        <color theme="4" tint="0.39994506668294322"/>
      </bottom>
      <diagonal/>
    </border>
    <border>
      <left style="medium">
        <color theme="4" tint="-0.24994659260841701"/>
      </left>
      <right style="thin">
        <color theme="4" tint="0.39994506668294322"/>
      </right>
      <top style="thin">
        <color theme="4" tint="0.39994506668294322"/>
      </top>
      <bottom style="medium">
        <color theme="4" tint="-0.24994659260841701"/>
      </bottom>
      <diagonal/>
    </border>
    <border>
      <left style="thin">
        <color theme="4" tint="0.39994506668294322"/>
      </left>
      <right style="thin">
        <color theme="4" tint="0.39994506668294322"/>
      </right>
      <top style="thin">
        <color theme="4" tint="0.39994506668294322"/>
      </top>
      <bottom style="medium">
        <color theme="4" tint="-0.24994659260841701"/>
      </bottom>
      <diagonal/>
    </border>
    <border>
      <left style="medium">
        <color theme="4" tint="-0.24994659260841701"/>
      </left>
      <right style="thin">
        <color theme="4" tint="0.39994506668294322"/>
      </right>
      <top style="medium">
        <color theme="4" tint="-0.24994659260841701"/>
      </top>
      <bottom/>
      <diagonal/>
    </border>
    <border>
      <left style="thin">
        <color theme="4" tint="0.39994506668294322"/>
      </left>
      <right style="thin">
        <color theme="4" tint="0.39994506668294322"/>
      </right>
      <top style="medium">
        <color theme="4" tint="-0.24994659260841701"/>
      </top>
      <bottom/>
      <diagonal/>
    </border>
    <border>
      <left style="thin">
        <color theme="4" tint="0.39994506668294322"/>
      </left>
      <right style="medium">
        <color theme="4" tint="-0.24994659260841701"/>
      </right>
      <top style="medium">
        <color theme="4" tint="-0.24994659260841701"/>
      </top>
      <bottom/>
      <diagonal/>
    </border>
    <border>
      <left style="medium">
        <color theme="4" tint="-0.24994659260841701"/>
      </left>
      <right style="thin">
        <color theme="4" tint="0.39994506668294322"/>
      </right>
      <top style="medium">
        <color theme="4" tint="-0.24994659260841701"/>
      </top>
      <bottom style="thin">
        <color theme="4" tint="0.39994506668294322"/>
      </bottom>
      <diagonal/>
    </border>
    <border>
      <left style="thin">
        <color theme="4" tint="0.39994506668294322"/>
      </left>
      <right style="thin">
        <color theme="4" tint="0.39994506668294322"/>
      </right>
      <top style="medium">
        <color theme="4" tint="-0.24994659260841701"/>
      </top>
      <bottom style="thin">
        <color theme="4" tint="0.39994506668294322"/>
      </bottom>
      <diagonal/>
    </border>
    <border>
      <left style="thin">
        <color theme="4" tint="0.39994506668294322"/>
      </left>
      <right style="medium">
        <color theme="4" tint="-0.24994659260841701"/>
      </right>
      <top style="medium">
        <color theme="4" tint="-0.24994659260841701"/>
      </top>
      <bottom style="thin">
        <color theme="4" tint="0.39994506668294322"/>
      </bottom>
      <diagonal/>
    </border>
    <border>
      <left style="medium">
        <color theme="4" tint="-0.24994659260841701"/>
      </left>
      <right style="thin">
        <color theme="4" tint="0.39994506668294322"/>
      </right>
      <top/>
      <bottom style="thin">
        <color theme="4" tint="0.39994506668294322"/>
      </bottom>
      <diagonal/>
    </border>
    <border>
      <left style="thin">
        <color theme="4" tint="0.39994506668294322"/>
      </left>
      <right/>
      <top style="thin">
        <color theme="4" tint="0.39994506668294322"/>
      </top>
      <bottom style="medium">
        <color theme="4" tint="-0.24994659260841701"/>
      </bottom>
      <diagonal/>
    </border>
    <border>
      <left/>
      <right/>
      <top style="thin">
        <color theme="4" tint="0.39994506668294322"/>
      </top>
      <bottom style="medium">
        <color theme="4" tint="-0.24994659260841701"/>
      </bottom>
      <diagonal/>
    </border>
    <border>
      <left/>
      <right style="medium">
        <color theme="4" tint="-0.24994659260841701"/>
      </right>
      <top style="thin">
        <color theme="4" tint="0.39994506668294322"/>
      </top>
      <bottom style="medium">
        <color theme="4" tint="-0.24994659260841701"/>
      </bottom>
      <diagonal/>
    </border>
    <border>
      <left style="medium">
        <color theme="4" tint="-0.24994659260841701"/>
      </left>
      <right/>
      <top style="thin">
        <color theme="4" tint="0.39994506668294322"/>
      </top>
      <bottom style="medium">
        <color theme="4" tint="-0.24994659260841701"/>
      </bottom>
      <diagonal/>
    </border>
    <border>
      <left style="thin">
        <color indexed="64"/>
      </left>
      <right style="thin">
        <color indexed="64"/>
      </right>
      <top style="thin">
        <color indexed="64"/>
      </top>
      <bottom style="thin">
        <color indexed="64"/>
      </bottom>
      <diagonal/>
    </border>
    <border>
      <left/>
      <right style="thin">
        <color theme="4" tint="0.39994506668294322"/>
      </right>
      <top style="thin">
        <color theme="4" tint="0.39994506668294322"/>
      </top>
      <bottom style="thin">
        <color theme="4" tint="0.39994506668294322"/>
      </bottom>
      <diagonal/>
    </border>
    <border>
      <left/>
      <right style="thin">
        <color theme="4" tint="0.39994506668294322"/>
      </right>
      <top/>
      <bottom style="thin">
        <color theme="4" tint="0.39994506668294322"/>
      </bottom>
      <diagonal/>
    </border>
    <border>
      <left/>
      <right style="thin">
        <color theme="4" tint="0.39994506668294322"/>
      </right>
      <top style="thin">
        <color theme="4" tint="0.39994506668294322"/>
      </top>
      <bottom style="medium">
        <color theme="4" tint="-0.24994659260841701"/>
      </bottom>
      <diagonal/>
    </border>
  </borders>
  <cellStyleXfs count="5">
    <xf numFmtId="0" fontId="0" fillId="0" borderId="0"/>
    <xf numFmtId="0" fontId="9" fillId="0" borderId="0" applyNumberFormat="0" applyFill="0" applyAlignment="0" applyProtection="0"/>
    <xf numFmtId="0" fontId="2" fillId="4" borderId="1" applyNumberFormat="0" applyAlignment="0" applyProtection="0"/>
    <xf numFmtId="0" fontId="11" fillId="5" borderId="0" applyNumberFormat="0" applyBorder="0" applyAlignment="0" applyProtection="0"/>
    <xf numFmtId="0" fontId="10" fillId="6" borderId="3" applyNumberFormat="0" applyProtection="0">
      <alignment vertical="center"/>
    </xf>
  </cellStyleXfs>
  <cellXfs count="73">
    <xf numFmtId="0" fontId="0" fillId="0" borderId="0" xfId="0"/>
    <xf numFmtId="0" fontId="4" fillId="2" borderId="0" xfId="0" applyFont="1" applyFill="1"/>
    <xf numFmtId="0" fontId="5" fillId="2" borderId="0" xfId="0" applyFont="1" applyFill="1"/>
    <xf numFmtId="0" fontId="5" fillId="0" borderId="0" xfId="0" applyFont="1"/>
    <xf numFmtId="0" fontId="4" fillId="0" borderId="0" xfId="0" applyFont="1"/>
    <xf numFmtId="165" fontId="8" fillId="0" borderId="1" xfId="0" applyNumberFormat="1" applyFont="1" applyFill="1" applyBorder="1" applyAlignment="1">
      <alignment horizontal="left" vertical="center" wrapText="1" indent="1"/>
    </xf>
    <xf numFmtId="165" fontId="8" fillId="2" borderId="1" xfId="0" applyNumberFormat="1" applyFont="1" applyFill="1" applyBorder="1" applyAlignment="1">
      <alignment horizontal="left" vertical="center" wrapText="1" indent="1"/>
    </xf>
    <xf numFmtId="0" fontId="11" fillId="5" borderId="4" xfId="3" applyBorder="1" applyAlignment="1">
      <alignment horizontal="right" vertical="center" wrapText="1"/>
    </xf>
    <xf numFmtId="0" fontId="11" fillId="5" borderId="5" xfId="3" applyBorder="1" applyAlignment="1">
      <alignment vertical="center"/>
    </xf>
    <xf numFmtId="165" fontId="7" fillId="0" borderId="6" xfId="0" applyNumberFormat="1" applyFont="1" applyBorder="1" applyAlignment="1">
      <alignment horizontal="left" vertical="center" indent="1"/>
    </xf>
    <xf numFmtId="165" fontId="8" fillId="0" borderId="7" xfId="0" applyNumberFormat="1" applyFont="1" applyFill="1" applyBorder="1" applyAlignment="1">
      <alignment horizontal="left" vertical="center" wrapText="1" indent="1"/>
    </xf>
    <xf numFmtId="165" fontId="8" fillId="0" borderId="6" xfId="0" applyNumberFormat="1" applyFont="1" applyFill="1" applyBorder="1" applyAlignment="1">
      <alignment horizontal="left" vertical="center" wrapText="1" indent="1"/>
    </xf>
    <xf numFmtId="165" fontId="8" fillId="2" borderId="6" xfId="0" applyNumberFormat="1" applyFont="1" applyFill="1" applyBorder="1" applyAlignment="1">
      <alignment horizontal="left" vertical="center" wrapText="1" indent="1"/>
    </xf>
    <xf numFmtId="165" fontId="8" fillId="2" borderId="7" xfId="0" applyNumberFormat="1" applyFont="1" applyFill="1" applyBorder="1" applyAlignment="1">
      <alignment horizontal="left" vertical="center" wrapText="1" indent="1"/>
    </xf>
    <xf numFmtId="0" fontId="8" fillId="0" borderId="10" xfId="0" applyFont="1" applyFill="1" applyBorder="1" applyAlignment="1">
      <alignment horizontal="left" vertical="center" wrapText="1" indent="1"/>
    </xf>
    <xf numFmtId="0" fontId="2" fillId="4" borderId="11" xfId="2" applyBorder="1" applyAlignment="1">
      <alignment horizontal="center" vertical="center"/>
    </xf>
    <xf numFmtId="0" fontId="2" fillId="4" borderId="12" xfId="2" applyBorder="1" applyAlignment="1">
      <alignment horizontal="center" vertical="center"/>
    </xf>
    <xf numFmtId="0" fontId="2" fillId="4" borderId="13" xfId="2" applyBorder="1" applyAlignment="1">
      <alignment horizontal="center" vertical="center"/>
    </xf>
    <xf numFmtId="0" fontId="2" fillId="4" borderId="14" xfId="2" applyBorder="1" applyAlignment="1">
      <alignment horizontal="center" vertical="center"/>
    </xf>
    <xf numFmtId="0" fontId="2" fillId="4" borderId="15" xfId="2" applyBorder="1" applyAlignment="1">
      <alignment horizontal="center" vertical="center"/>
    </xf>
    <xf numFmtId="0" fontId="2" fillId="4" borderId="16" xfId="2" applyBorder="1" applyAlignment="1">
      <alignment horizontal="center" vertical="center"/>
    </xf>
    <xf numFmtId="0" fontId="4" fillId="0" borderId="0" xfId="0" applyFont="1"/>
    <xf numFmtId="0" fontId="6" fillId="0" borderId="0" xfId="0" applyFont="1"/>
    <xf numFmtId="0" fontId="6" fillId="0" borderId="0" xfId="0" applyFont="1" applyFill="1"/>
    <xf numFmtId="165" fontId="8" fillId="2" borderId="2" xfId="0" applyNumberFormat="1" applyFont="1" applyFill="1" applyBorder="1" applyAlignment="1">
      <alignment horizontal="left" vertical="center" wrapText="1" indent="1"/>
    </xf>
    <xf numFmtId="0" fontId="12" fillId="0" borderId="1" xfId="0" applyFont="1" applyFill="1" applyBorder="1" applyAlignment="1">
      <alignment horizontal="left" vertical="center" wrapText="1" indent="1"/>
    </xf>
    <xf numFmtId="0" fontId="12" fillId="2" borderId="1" xfId="0" applyFont="1" applyFill="1" applyBorder="1" applyAlignment="1">
      <alignment horizontal="left" vertical="center" wrapText="1" indent="1"/>
    </xf>
    <xf numFmtId="0" fontId="12" fillId="0" borderId="10" xfId="0" applyFont="1" applyFill="1" applyBorder="1" applyAlignment="1">
      <alignment horizontal="left" vertical="center" wrapText="1" indent="1"/>
    </xf>
    <xf numFmtId="165" fontId="8" fillId="2" borderId="17" xfId="0" applyNumberFormat="1" applyFont="1" applyFill="1" applyBorder="1" applyAlignment="1">
      <alignment horizontal="left" vertical="center" wrapText="1" indent="1"/>
    </xf>
    <xf numFmtId="0" fontId="12" fillId="5" borderId="6" xfId="3" applyFont="1" applyBorder="1" applyAlignment="1">
      <alignment horizontal="left" vertical="center" wrapText="1" indent="1"/>
    </xf>
    <xf numFmtId="0" fontId="12" fillId="5" borderId="7" xfId="3" applyFont="1" applyBorder="1" applyAlignment="1">
      <alignment horizontal="left" vertical="center" wrapText="1" indent="1"/>
    </xf>
    <xf numFmtId="0" fontId="12" fillId="5" borderId="9" xfId="3" applyFont="1" applyBorder="1" applyAlignment="1">
      <alignment horizontal="left" vertical="center" wrapText="1" indent="1"/>
    </xf>
    <xf numFmtId="0" fontId="13" fillId="5" borderId="9" xfId="3" applyFont="1" applyBorder="1" applyAlignment="1">
      <alignment horizontal="left" vertical="center" wrapText="1" indent="1"/>
    </xf>
    <xf numFmtId="0" fontId="12" fillId="3" borderId="6" xfId="0" applyFont="1" applyFill="1" applyBorder="1" applyAlignment="1">
      <alignment horizontal="left" vertical="center" wrapText="1" indent="1"/>
    </xf>
    <xf numFmtId="0" fontId="12" fillId="0" borderId="1" xfId="0" applyFont="1" applyFill="1" applyBorder="1" applyAlignment="1">
      <alignment horizontal="left" vertical="center" wrapText="1"/>
    </xf>
    <xf numFmtId="0" fontId="12" fillId="5" borderId="7" xfId="3" applyFont="1" applyBorder="1" applyAlignment="1">
      <alignment horizontal="left" vertical="center" wrapText="1"/>
    </xf>
    <xf numFmtId="0" fontId="4" fillId="0" borderId="0" xfId="0" applyFont="1" applyAlignment="1">
      <alignment vertical="center"/>
    </xf>
    <xf numFmtId="0" fontId="15" fillId="2" borderId="1" xfId="0" applyFont="1" applyFill="1" applyBorder="1" applyAlignment="1">
      <alignment horizontal="left" vertical="center" wrapText="1"/>
    </xf>
    <xf numFmtId="0" fontId="16" fillId="0" borderId="1" xfId="0" applyFont="1" applyFill="1" applyBorder="1" applyAlignment="1">
      <alignment horizontal="left" vertical="center" wrapText="1" indent="1"/>
    </xf>
    <xf numFmtId="0" fontId="16" fillId="2" borderId="1" xfId="0" applyFont="1" applyFill="1" applyBorder="1" applyAlignment="1">
      <alignment horizontal="left" vertical="center" wrapText="1" indent="1"/>
    </xf>
    <xf numFmtId="0" fontId="16" fillId="2"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12" fillId="5" borderId="23" xfId="3" applyFont="1" applyBorder="1" applyAlignment="1">
      <alignment horizontal="left" vertical="center" wrapText="1"/>
    </xf>
    <xf numFmtId="165" fontId="8" fillId="0" borderId="23" xfId="0" applyNumberFormat="1" applyFont="1" applyFill="1" applyBorder="1" applyAlignment="1">
      <alignment horizontal="left" vertical="center" wrapText="1" indent="1"/>
    </xf>
    <xf numFmtId="0" fontId="12" fillId="5" borderId="23" xfId="3" applyFont="1" applyBorder="1" applyAlignment="1">
      <alignment horizontal="left" vertical="center" wrapText="1" indent="1"/>
    </xf>
    <xf numFmtId="165" fontId="8" fillId="2" borderId="23" xfId="0" applyNumberFormat="1" applyFont="1" applyFill="1" applyBorder="1" applyAlignment="1">
      <alignment horizontal="left" vertical="center" wrapText="1" indent="1"/>
    </xf>
    <xf numFmtId="165" fontId="8" fillId="2" borderId="24" xfId="0" applyNumberFormat="1" applyFont="1" applyFill="1" applyBorder="1" applyAlignment="1">
      <alignment horizontal="left" vertical="center" wrapText="1" indent="1"/>
    </xf>
    <xf numFmtId="0" fontId="12" fillId="5" borderId="25" xfId="3" applyFont="1" applyBorder="1" applyAlignment="1">
      <alignment horizontal="left" vertical="center" wrapText="1" indent="1"/>
    </xf>
    <xf numFmtId="0" fontId="21" fillId="2" borderId="0" xfId="0" applyFont="1" applyFill="1" applyAlignment="1">
      <alignment horizontal="center" vertical="center"/>
    </xf>
    <xf numFmtId="0" fontId="22" fillId="2" borderId="0" xfId="0" applyFont="1" applyFill="1" applyAlignment="1">
      <alignment horizontal="center" vertical="center"/>
    </xf>
    <xf numFmtId="0" fontId="21" fillId="2" borderId="22" xfId="0" applyFont="1" applyFill="1" applyBorder="1" applyAlignment="1">
      <alignment horizontal="center" vertical="center"/>
    </xf>
    <xf numFmtId="0" fontId="17" fillId="2" borderId="1" xfId="0" applyFont="1" applyFill="1" applyBorder="1" applyAlignment="1">
      <alignment horizontal="left" vertical="center" wrapText="1" indent="1"/>
    </xf>
    <xf numFmtId="0" fontId="17" fillId="0" borderId="1" xfId="0" applyFont="1" applyFill="1" applyBorder="1" applyAlignment="1">
      <alignment horizontal="left" vertical="center" wrapText="1" indent="1"/>
    </xf>
    <xf numFmtId="0" fontId="20" fillId="2" borderId="1" xfId="0" applyFont="1" applyFill="1" applyBorder="1" applyAlignment="1">
      <alignment horizontal="left" vertical="center" wrapText="1" indent="1"/>
    </xf>
    <xf numFmtId="0" fontId="15" fillId="0" borderId="1" xfId="0" applyFont="1" applyFill="1" applyBorder="1" applyAlignment="1">
      <alignment horizontal="left" vertical="center" wrapText="1" indent="1"/>
    </xf>
    <xf numFmtId="0" fontId="18" fillId="0" borderId="1" xfId="0" applyFont="1" applyFill="1" applyBorder="1" applyAlignment="1">
      <alignment horizontal="left" vertical="center" wrapText="1" indent="1"/>
    </xf>
    <xf numFmtId="0" fontId="23" fillId="0" borderId="1" xfId="0" applyFont="1" applyFill="1" applyBorder="1" applyAlignment="1">
      <alignment horizontal="left" vertical="center" wrapText="1" indent="1"/>
    </xf>
    <xf numFmtId="0" fontId="15" fillId="2" borderId="1" xfId="0" applyFont="1" applyFill="1" applyBorder="1" applyAlignment="1">
      <alignment horizontal="left" vertical="center" wrapText="1" indent="1"/>
    </xf>
    <xf numFmtId="164" fontId="9" fillId="2" borderId="0" xfId="1" applyNumberFormat="1" applyFill="1" applyAlignment="1">
      <alignment horizontal="center" vertical="center"/>
    </xf>
    <xf numFmtId="0" fontId="3" fillId="4" borderId="18" xfId="2" applyFont="1" applyBorder="1" applyAlignment="1">
      <alignment horizontal="left" vertical="center" wrapText="1"/>
    </xf>
    <xf numFmtId="0" fontId="3" fillId="4" borderId="19" xfId="2" applyFont="1" applyBorder="1" applyAlignment="1">
      <alignment horizontal="left" vertical="center" wrapText="1"/>
    </xf>
    <xf numFmtId="0" fontId="3" fillId="4" borderId="20" xfId="2" applyFont="1" applyBorder="1" applyAlignment="1">
      <alignment horizontal="left" vertical="center" wrapText="1"/>
    </xf>
    <xf numFmtId="165" fontId="2" fillId="4" borderId="2" xfId="2" applyNumberFormat="1" applyBorder="1" applyAlignment="1">
      <alignment horizontal="left" vertical="center" wrapText="1"/>
    </xf>
    <xf numFmtId="165" fontId="2" fillId="4" borderId="8" xfId="2" applyNumberFormat="1" applyBorder="1" applyAlignment="1">
      <alignment horizontal="left" vertical="center" wrapText="1"/>
    </xf>
    <xf numFmtId="0" fontId="3" fillId="4" borderId="21" xfId="2" applyFont="1" applyBorder="1" applyAlignment="1">
      <alignment horizontal="left" vertical="center" wrapText="1"/>
    </xf>
    <xf numFmtId="165" fontId="2" fillId="4" borderId="6" xfId="2" applyNumberFormat="1" applyFont="1" applyBorder="1" applyAlignment="1">
      <alignment horizontal="left" vertical="center" wrapText="1"/>
    </xf>
    <xf numFmtId="165" fontId="2" fillId="4" borderId="1" xfId="2" applyNumberFormat="1" applyFont="1" applyBorder="1" applyAlignment="1">
      <alignment horizontal="left" vertical="center" wrapText="1"/>
    </xf>
    <xf numFmtId="165" fontId="2" fillId="4" borderId="7" xfId="2" applyNumberFormat="1" applyFont="1" applyBorder="1" applyAlignment="1">
      <alignment horizontal="left" vertical="center" wrapText="1"/>
    </xf>
    <xf numFmtId="165" fontId="2" fillId="4" borderId="1" xfId="2" applyNumberFormat="1" applyBorder="1" applyAlignment="1">
      <alignment horizontal="left" vertical="center" wrapText="1"/>
    </xf>
    <xf numFmtId="165" fontId="2" fillId="4" borderId="7" xfId="2" applyNumberFormat="1" applyBorder="1" applyAlignment="1">
      <alignment horizontal="left" vertical="center" wrapText="1"/>
    </xf>
  </cellXfs>
  <cellStyles count="5">
    <cellStyle name="40 % - Accent1" xfId="3" builtinId="31" customBuiltin="1"/>
    <cellStyle name="Accent1" xfId="2" builtinId="29" customBuiltin="1"/>
    <cellStyle name="Accent5" xfId="4" builtinId="45" customBuiltin="1"/>
    <cellStyle name="Normal" xfId="0" builtinId="0" customBuiltin="1"/>
    <cellStyle name="Titre 1" xfId="1" builtinId="16" customBuiltin="1"/>
  </cellStyles>
  <dxfs count="3">
    <dxf>
      <font>
        <strike val="0"/>
        <outline val="0"/>
        <shadow val="0"/>
        <u val="none"/>
        <vertAlign val="baseline"/>
        <sz val="11"/>
        <color auto="1"/>
      </font>
    </dxf>
    <dxf>
      <font>
        <strike val="0"/>
        <outline val="0"/>
        <shadow val="0"/>
        <u val="none"/>
        <vertAlign val="baseline"/>
        <sz val="11"/>
        <color auto="1"/>
      </font>
    </dxf>
    <dxf>
      <font>
        <strike val="0"/>
        <outline val="0"/>
        <shadow val="0"/>
        <u val="none"/>
        <vertAlign val="baseline"/>
        <sz val="11"/>
        <color auto="1"/>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F1F2F5"/>
      <rgbColor rgb="00008080"/>
      <rgbColor rgb="00E4EAF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314265"/>
      <rgbColor rgb="00CCFFCC"/>
      <rgbColor rgb="00FFEECD"/>
      <rgbColor rgb="00D0D8E2"/>
      <rgbColor rgb="00FF99CC"/>
      <rgbColor rgb="00CC99FF"/>
      <rgbColor rgb="00FFCC99"/>
      <rgbColor rgb="003366FF"/>
      <rgbColor rgb="0033CCCC"/>
      <rgbColor rgb="0099CC00"/>
      <rgbColor rgb="00FFCC00"/>
      <rgbColor rgb="00FF9900"/>
      <rgbColor rgb="00FF6600"/>
      <rgbColor rgb="00717789"/>
      <rgbColor rgb="00969696"/>
      <rgbColor rgb="00003366"/>
      <rgbColor rgb="00339966"/>
      <rgbColor rgb="00003300"/>
      <rgbColor rgb="00333300"/>
      <rgbColor rgb="00993300"/>
      <rgbColor rgb="00993366"/>
      <rgbColor rgb="00333399"/>
      <rgbColor rgb="004B4B4B"/>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id="1" name="YearLookup" displayName="YearLookup" ref="A1:A18" totalsRowShown="0" headerRowDxfId="2" dataDxfId="1">
  <autoFilter ref="A1:A18"/>
  <tableColumns count="1">
    <tableColumn id="1" name="Year" dataDxfId="0"/>
  </tableColumns>
  <tableStyleInfo name="TableStyleMedium23"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pothecary">
  <a:themeElements>
    <a:clrScheme name="Apothecary">
      <a:dk1>
        <a:sysClr val="windowText" lastClr="000000"/>
      </a:dk1>
      <a:lt1>
        <a:sysClr val="window" lastClr="FFFFFF"/>
      </a:lt1>
      <a:dk2>
        <a:srgbClr val="564B3C"/>
      </a:dk2>
      <a:lt2>
        <a:srgbClr val="ECEDD1"/>
      </a:lt2>
      <a:accent1>
        <a:srgbClr val="93A299"/>
      </a:accent1>
      <a:accent2>
        <a:srgbClr val="CF543F"/>
      </a:accent2>
      <a:accent3>
        <a:srgbClr val="B5AE53"/>
      </a:accent3>
      <a:accent4>
        <a:srgbClr val="848058"/>
      </a:accent4>
      <a:accent5>
        <a:srgbClr val="E8B54D"/>
      </a:accent5>
      <a:accent6>
        <a:srgbClr val="786C71"/>
      </a:accent6>
      <a:hlink>
        <a:srgbClr val="CCCC00"/>
      </a:hlink>
      <a:folHlink>
        <a:srgbClr val="B2B2B2"/>
      </a:folHlink>
    </a:clrScheme>
    <a:fontScheme name="Calendar">
      <a:majorFont>
        <a:latin typeface="Century Gothic"/>
        <a:ea typeface=""/>
        <a:cs typeface=""/>
      </a:majorFont>
      <a:minorFont>
        <a:latin typeface="Century Gothic"/>
        <a:ea typeface=""/>
        <a:cs typeface=""/>
      </a:minorFont>
    </a:fontScheme>
    <a:fmtScheme name="Apothecary">
      <a:fillStyleLst>
        <a:solidFill>
          <a:schemeClr val="phClr"/>
        </a:solidFill>
        <a:gradFill rotWithShape="1">
          <a:gsLst>
            <a:gs pos="0">
              <a:schemeClr val="phClr">
                <a:tint val="1000"/>
                <a:satMod val="100000"/>
              </a:schemeClr>
            </a:gs>
            <a:gs pos="68000">
              <a:schemeClr val="phClr">
                <a:tint val="77000"/>
                <a:satMod val="100000"/>
              </a:schemeClr>
            </a:gs>
            <a:gs pos="81000">
              <a:schemeClr val="phClr">
                <a:tint val="79000"/>
                <a:satMod val="100000"/>
              </a:schemeClr>
            </a:gs>
            <a:gs pos="86000">
              <a:schemeClr val="phClr">
                <a:tint val="73000"/>
                <a:satMod val="100000"/>
              </a:schemeClr>
            </a:gs>
            <a:gs pos="100000">
              <a:schemeClr val="phClr">
                <a:tint val="35000"/>
                <a:satMod val="100000"/>
              </a:schemeClr>
            </a:gs>
          </a:gsLst>
          <a:lin ang="5400000" scaled="0"/>
        </a:gradFill>
        <a:gradFill rotWithShape="1">
          <a:gsLst>
            <a:gs pos="0">
              <a:schemeClr val="phClr">
                <a:tint val="73000"/>
                <a:shade val="100000"/>
                <a:satMod val="150000"/>
              </a:schemeClr>
            </a:gs>
            <a:gs pos="25000">
              <a:schemeClr val="phClr">
                <a:tint val="96000"/>
                <a:shade val="80000"/>
                <a:satMod val="105000"/>
              </a:schemeClr>
            </a:gs>
            <a:gs pos="38000">
              <a:schemeClr val="phClr">
                <a:tint val="96000"/>
                <a:shade val="59000"/>
                <a:satMod val="120000"/>
              </a:schemeClr>
            </a:gs>
            <a:gs pos="55000">
              <a:schemeClr val="phClr">
                <a:tint val="100000"/>
                <a:shade val="57000"/>
                <a:satMod val="120000"/>
              </a:schemeClr>
            </a:gs>
            <a:gs pos="80000">
              <a:schemeClr val="phClr">
                <a:tint val="100000"/>
                <a:shade val="56000"/>
                <a:satMod val="145000"/>
              </a:schemeClr>
            </a:gs>
            <a:gs pos="88000">
              <a:schemeClr val="phClr">
                <a:tint val="100000"/>
                <a:shade val="63000"/>
                <a:satMod val="160000"/>
              </a:schemeClr>
            </a:gs>
            <a:gs pos="100000">
              <a:schemeClr val="phClr">
                <a:tint val="99000"/>
                <a:shade val="100000"/>
                <a:satMod val="155000"/>
              </a:schemeClr>
            </a:gs>
          </a:gsLst>
          <a:lin ang="54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scene3d>
            <a:camera prst="orthographicFront">
              <a:rot lat="0" lon="0" rev="0"/>
            </a:camera>
            <a:lightRig rig="glow" dir="tl">
              <a:rot lat="0" lon="0" rev="1800000"/>
            </a:lightRig>
          </a:scene3d>
          <a:sp3d contourW="10160" prstMaterial="dkEdge">
            <a:bevelT w="0" h="0" prst="angle"/>
            <a:contourClr>
              <a:schemeClr val="phClr">
                <a:shade val="30000"/>
                <a:satMod val="150000"/>
              </a:schemeClr>
            </a:contourClr>
          </a:sp3d>
        </a:effectStyle>
        <a:effectStyle>
          <a:effectLst>
            <a:glow rad="50800">
              <a:schemeClr val="phClr">
                <a:tint val="68000"/>
                <a:shade val="93000"/>
                <a:alpha val="37000"/>
                <a:satMod val="250000"/>
              </a:schemeClr>
            </a:glow>
          </a:effectLst>
          <a:scene3d>
            <a:camera prst="orthographicFront">
              <a:rot lat="0" lon="0" rev="0"/>
            </a:camera>
            <a:lightRig rig="glow" dir="t">
              <a:rot lat="0" lon="0" rev="1800000"/>
            </a:lightRig>
          </a:scene3d>
          <a:sp3d contourW="10160" prstMaterial="dkEdge">
            <a:bevelT w="20320" h="19050" prst="angle"/>
            <a:contourClr>
              <a:schemeClr val="phClr">
                <a:shade val="30000"/>
                <a:satMod val="150000"/>
              </a:schemeClr>
            </a:contourClr>
          </a:sp3d>
        </a:effectStyle>
      </a:effectStyleLst>
      <a:bgFillStyleLst>
        <a:solidFill>
          <a:schemeClr val="phClr"/>
        </a:solidFill>
        <a:solidFill>
          <a:schemeClr val="phClr">
            <a:tint val="93000"/>
            <a:satMod val="140000"/>
          </a:schemeClr>
        </a:solidFill>
        <a:blipFill rotWithShape="1">
          <a:blip xmlns:r="http://schemas.openxmlformats.org/officeDocument/2006/relationships" r:embed="rId1">
            <a:duotone>
              <a:schemeClr val="phClr">
                <a:tint val="70000"/>
                <a:satMod val="170000"/>
              </a:schemeClr>
              <a:schemeClr val="phClr">
                <a:shade val="70000"/>
                <a:satMod val="13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1.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14"/>
  <sheetViews>
    <sheetView showGridLines="0" workbookViewId="0">
      <selection activeCell="C6" sqref="C6"/>
    </sheetView>
  </sheetViews>
  <sheetFormatPr baseColWidth="10" defaultColWidth="8.75" defaultRowHeight="14.25"/>
  <cols>
    <col min="1" max="1" width="2.375" style="1" customWidth="1"/>
    <col min="2" max="8" width="17.625" style="4" customWidth="1"/>
    <col min="9" max="9" width="8.75" style="4"/>
    <col min="10" max="10" width="15.25" style="4" customWidth="1"/>
    <col min="11" max="11" width="16.75" style="4" customWidth="1"/>
    <col min="12" max="16384" width="8.75" style="4"/>
  </cols>
  <sheetData>
    <row r="1" spans="1:11" s="1" customFormat="1" ht="59.25" customHeight="1" thickBot="1">
      <c r="B1" s="61">
        <f>DATE(CalendarYear,1,1)</f>
        <v>43101</v>
      </c>
      <c r="C1" s="61"/>
      <c r="D1" s="61"/>
      <c r="E1" s="61"/>
      <c r="F1" s="61"/>
      <c r="G1" s="61"/>
      <c r="H1" s="61"/>
      <c r="J1" s="7" t="s">
        <v>10</v>
      </c>
      <c r="K1" s="8">
        <v>2018</v>
      </c>
    </row>
    <row r="2" spans="1:11" s="3" customFormat="1" ht="21.75" customHeight="1">
      <c r="A2" s="2"/>
      <c r="B2" s="15" t="s">
        <v>0</v>
      </c>
      <c r="C2" s="16" t="s">
        <v>1</v>
      </c>
      <c r="D2" s="16" t="s">
        <v>2</v>
      </c>
      <c r="E2" s="16" t="s">
        <v>3</v>
      </c>
      <c r="F2" s="16" t="s">
        <v>4</v>
      </c>
      <c r="G2" s="16" t="s">
        <v>5</v>
      </c>
      <c r="H2" s="17" t="s">
        <v>6</v>
      </c>
    </row>
    <row r="3" spans="1:11" ht="14.1" customHeight="1">
      <c r="B3" s="9" t="str">
        <f>IF(AND(YEAR(JanSun1)=CalendarYear,MONTH(JanSun1)=1),JanSun1, "")</f>
        <v/>
      </c>
      <c r="C3" s="5">
        <f>IF(AND(YEAR(JanSun1+1)=CalendarYear,MONTH(JanSun1+1)=1),JanSun1+1, "")</f>
        <v>43101</v>
      </c>
      <c r="D3" s="5">
        <f>IF(AND(YEAR(JanSun1+2)=CalendarYear,MONTH(JanSun1+2)=1),JanSun1+2, "")</f>
        <v>43102</v>
      </c>
      <c r="E3" s="5">
        <f>IF(AND(YEAR(JanSun1+3)=CalendarYear,MONTH(JanSun1+3)=1),JanSun1+3, "")</f>
        <v>43103</v>
      </c>
      <c r="F3" s="5">
        <f>IF(AND(YEAR(JanSun1+4)=CalendarYear,MONTH(JanSun1+4)=1),JanSun1+4, "")</f>
        <v>43104</v>
      </c>
      <c r="G3" s="5">
        <f>IF(AND(YEAR(JanSun1+5)=CalendarYear,MONTH(JanSun1+5)=1),JanSun1+5, "")</f>
        <v>43105</v>
      </c>
      <c r="H3" s="10">
        <f>IF(AND(YEAR(JanSun1+6)=CalendarYear,MONTH(JanSun1+6)=1),JanSun1+6, "")</f>
        <v>43106</v>
      </c>
    </row>
    <row r="4" spans="1:11" ht="57.95" customHeight="1">
      <c r="B4" s="29" t="s">
        <v>11</v>
      </c>
      <c r="C4" s="25"/>
      <c r="D4" s="26"/>
      <c r="E4" s="26"/>
      <c r="F4" s="26"/>
      <c r="G4" s="26"/>
      <c r="H4" s="30"/>
    </row>
    <row r="5" spans="1:11" ht="14.1" customHeight="1">
      <c r="B5" s="11">
        <f>IF(AND(YEAR(JanSun1+7)=CalendarYear,MONTH(JanSun1+7)=1),JanSun1+7, "")</f>
        <v>43107</v>
      </c>
      <c r="C5" s="5">
        <f>IF(AND(YEAR(JanSun1+8)=CalendarYear,MONTH(JanSun1+8)=1),JanSun1+8, "")</f>
        <v>43108</v>
      </c>
      <c r="D5" s="5">
        <f>IF(AND(YEAR(JanSun1+9)=CalendarYear,MONTH(JanSun1+9)=1),JanSun1+9, "")</f>
        <v>43109</v>
      </c>
      <c r="E5" s="5">
        <f>IF(AND(YEAR(JanSun1+10)=CalendarYear,MONTH(JanSun1+10)=1),JanSun1+10, "")</f>
        <v>43110</v>
      </c>
      <c r="F5" s="5">
        <f>IF(AND(YEAR(JanSun1+11)=CalendarYear,MONTH(JanSun1+11)=1),JanSun1+11, "")</f>
        <v>43111</v>
      </c>
      <c r="G5" s="5">
        <f>IF(AND(YEAR(JanSun1+12)=CalendarYear,MONTH(JanSun1+12)=1),JanSun1+12,"")</f>
        <v>43112</v>
      </c>
      <c r="H5" s="10">
        <f>IF(AND(YEAR(JanSun1+13)=CalendarYear,MONTH(JanSun1+13)=1),JanSun1+13, "")</f>
        <v>43113</v>
      </c>
    </row>
    <row r="6" spans="1:11" ht="57.95" customHeight="1">
      <c r="B6" s="29"/>
      <c r="C6" s="25"/>
      <c r="D6" s="26"/>
      <c r="E6" s="26"/>
      <c r="F6" s="26"/>
      <c r="G6" s="26"/>
      <c r="H6" s="30"/>
    </row>
    <row r="7" spans="1:11" ht="14.1" customHeight="1">
      <c r="B7" s="11">
        <f>IF(AND(YEAR(JanSun1+14)=CalendarYear,MONTH(JanSun1+14)=1),JanSun1+14, "")</f>
        <v>43114</v>
      </c>
      <c r="C7" s="5">
        <f>IF(AND(YEAR(JanSun1+15)=CalendarYear,MONTH(JanSun1+15)=1),JanSun1+15, "")</f>
        <v>43115</v>
      </c>
      <c r="D7" s="5">
        <f>IF(AND(YEAR(JanSun1+16)=CalendarYear,MONTH(JanSun1+16)=1),JanSun1+16, "")</f>
        <v>43116</v>
      </c>
      <c r="E7" s="5">
        <f>IF(AND(YEAR(JanSun1+17)=CalendarYear,MONTH(JanSun1+17)=1),JanSun1+17, "")</f>
        <v>43117</v>
      </c>
      <c r="F7" s="5">
        <f>IF(AND(YEAR(JanSun1+18)=CalendarYear,MONTH(JanSun1+18)=1),JanSun1+18, "")</f>
        <v>43118</v>
      </c>
      <c r="G7" s="5">
        <f>IF(AND(YEAR(JanSun1+19)=CalendarYear,MONTH(JanSun1+19)=1),JanSun1+19, "")</f>
        <v>43119</v>
      </c>
      <c r="H7" s="10">
        <f>IF(AND(YEAR(JanSun1+20)=CalendarYear,MONTH(JanSun1+20)=1),JanSun1+20, "")</f>
        <v>43120</v>
      </c>
    </row>
    <row r="8" spans="1:11" ht="57.95" customHeight="1">
      <c r="B8" s="29"/>
      <c r="C8" s="25"/>
      <c r="D8" s="26"/>
      <c r="E8" s="26"/>
      <c r="F8" s="26"/>
      <c r="G8" s="26"/>
      <c r="H8" s="30"/>
    </row>
    <row r="9" spans="1:11" ht="14.1" customHeight="1">
      <c r="B9" s="12">
        <f>IF(AND(YEAR(JanSun1+21)=CalendarYear,MONTH(JanSun1+21)=1),JanSun1+21, "")</f>
        <v>43121</v>
      </c>
      <c r="C9" s="6">
        <f>IF(AND(YEAR(JanSun1+22)=CalendarYear,MONTH(JanSun1+22)=1),JanSun1+22, "")</f>
        <v>43122</v>
      </c>
      <c r="D9" s="6">
        <f>IF(AND(YEAR(JanSun1+23)=CalendarYear,MONTH(JanSun1+23)=1),JanSun1+23, "")</f>
        <v>43123</v>
      </c>
      <c r="E9" s="6">
        <f>IF(AND(YEAR(JanSun1+24)=CalendarYear,MONTH(JanSun1+24)=1),JanSun1+24, "")</f>
        <v>43124</v>
      </c>
      <c r="F9" s="6">
        <f>IF(AND(YEAR(JanSun1+25)=CalendarYear,MONTH(JanSun1+25)=1),JanSun1+25, "")</f>
        <v>43125</v>
      </c>
      <c r="G9" s="6">
        <f>IF(AND(YEAR(JanSun1+26)=CalendarYear,MONTH(JanSun1+26)=1),JanSun1+26, "")</f>
        <v>43126</v>
      </c>
      <c r="H9" s="13">
        <f>IF(AND(YEAR(JanSun1+27)=CalendarYear,MONTH(JanSun1+27)=1),JanSun1+27, "")</f>
        <v>43127</v>
      </c>
    </row>
    <row r="10" spans="1:11" ht="57.95" customHeight="1">
      <c r="B10" s="29"/>
      <c r="C10" s="25"/>
      <c r="D10" s="26"/>
      <c r="E10" s="26"/>
      <c r="F10" s="26"/>
      <c r="G10" s="26"/>
      <c r="H10" s="30"/>
    </row>
    <row r="11" spans="1:11" ht="14.1" customHeight="1">
      <c r="B11" s="12">
        <f>IF(AND(YEAR(JanSun1+28)=CalendarYear,MONTH(JanSun1+28)=1),JanSun1+28, "")</f>
        <v>43128</v>
      </c>
      <c r="C11" s="6">
        <f>IF(AND(YEAR(JanSun1+29)=CalendarYear,MONTH(JanSun1+29)=1),JanSun1+29, "")</f>
        <v>43129</v>
      </c>
      <c r="D11" s="6">
        <f>IF(AND(YEAR(JanSun1+30)=CalendarYear,MONTH(JanSun1+30)=1),JanSun1+30, "")</f>
        <v>43130</v>
      </c>
      <c r="E11" s="6">
        <f>IF(AND(YEAR(JanSun1+31)=CalendarYear,MONTH(JanSun1+31)=1),JanSun1+31, "")</f>
        <v>43131</v>
      </c>
      <c r="F11" s="6" t="str">
        <f>IF(AND(YEAR(JanSun1+32)=CalendarYear,MONTH(JanSun1+32)=1),JanSun1+32, "")</f>
        <v/>
      </c>
      <c r="G11" s="6" t="str">
        <f>IF(AND(YEAR(JanSun1+33)=CalendarYear,MONTH(JanSun1+33)=1),JanSun1+33, "")</f>
        <v/>
      </c>
      <c r="H11" s="13" t="str">
        <f>IF(AND(YEAR(JanSun1+34)=CalendarYear,MONTH(JanSun1+34)=1),JanSun1+34, "")</f>
        <v/>
      </c>
    </row>
    <row r="12" spans="1:11" ht="57.95" customHeight="1">
      <c r="B12" s="29"/>
      <c r="C12" s="25"/>
      <c r="D12" s="26"/>
      <c r="E12" s="26"/>
      <c r="F12" s="25"/>
      <c r="G12" s="25"/>
      <c r="H12" s="30"/>
    </row>
    <row r="13" spans="1:11" ht="14.1" customHeight="1">
      <c r="B13" s="12" t="str">
        <f>IF(AND(YEAR(JanSun1+35)=CalendarYear,MONTH(JanSun1+35)=1),JanSun1+35, "")</f>
        <v/>
      </c>
      <c r="C13" s="6" t="str">
        <f>IF(AND(YEAR(JanSun1+36)=CalendarYear,MONTH(JanSun1+36)=1),JanSun1+36, "")</f>
        <v/>
      </c>
      <c r="D13" s="65" t="s">
        <v>8</v>
      </c>
      <c r="E13" s="65"/>
      <c r="F13" s="65"/>
      <c r="G13" s="65"/>
      <c r="H13" s="66"/>
    </row>
    <row r="14" spans="1:11" ht="57.95" customHeight="1" thickBot="1">
      <c r="B14" s="31"/>
      <c r="C14" s="27"/>
      <c r="D14" s="62"/>
      <c r="E14" s="63"/>
      <c r="F14" s="63"/>
      <c r="G14" s="63"/>
      <c r="H14" s="64"/>
    </row>
  </sheetData>
  <mergeCells count="3">
    <mergeCell ref="B1:H1"/>
    <mergeCell ref="D14:H14"/>
    <mergeCell ref="D13:H13"/>
  </mergeCells>
  <phoneticPr fontId="1" type="noConversion"/>
  <dataValidations count="1">
    <dataValidation type="list" allowBlank="1" showInputMessage="1" showErrorMessage="1" sqref="K1">
      <formula1>Year</formula1>
    </dataValidation>
  </dataValidations>
  <printOptions horizontalCentered="1"/>
  <pageMargins left="0.5" right="0.5" top="0.75" bottom="0.75" header="0.5" footer="0.5"/>
  <headerFooter alignWithMargins="0"/>
  <customProperties>
    <customPr name="SheetChanged" r:id="rId1"/>
  </customProperties>
  <legacy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showGridLines="0" topLeftCell="D8" workbookViewId="0">
      <selection activeCell="F12" sqref="F12"/>
    </sheetView>
  </sheetViews>
  <sheetFormatPr baseColWidth="10" defaultColWidth="8.75" defaultRowHeight="14.25"/>
  <cols>
    <col min="1" max="1" width="2.375" style="1" customWidth="1"/>
    <col min="2" max="2" width="17.625" style="4" customWidth="1"/>
    <col min="3" max="3" width="41.125" style="4" customWidth="1"/>
    <col min="4" max="4" width="38" style="4" customWidth="1"/>
    <col min="5" max="5" width="37.125" style="4" customWidth="1"/>
    <col min="6" max="6" width="32.125" style="4" customWidth="1"/>
    <col min="7" max="7" width="30.875" style="4" customWidth="1"/>
    <col min="8" max="8" width="17.625" style="4" customWidth="1"/>
    <col min="9" max="16384" width="8.75" style="4"/>
  </cols>
  <sheetData>
    <row r="1" spans="1:8" s="1" customFormat="1" ht="59.25" customHeight="1" thickBot="1">
      <c r="B1" s="61">
        <f>DATE(CalendarYear,10,1)</f>
        <v>43374</v>
      </c>
      <c r="C1" s="61"/>
      <c r="D1" s="61"/>
      <c r="E1" s="61"/>
      <c r="F1" s="61"/>
      <c r="G1" s="61"/>
      <c r="H1" s="61"/>
    </row>
    <row r="2" spans="1:8" s="3" customFormat="1" ht="21.75" customHeight="1">
      <c r="A2" s="2"/>
      <c r="B2" s="18" t="s">
        <v>0</v>
      </c>
      <c r="C2" s="19" t="s">
        <v>1</v>
      </c>
      <c r="D2" s="19" t="s">
        <v>2</v>
      </c>
      <c r="E2" s="19" t="s">
        <v>3</v>
      </c>
      <c r="F2" s="19" t="s">
        <v>4</v>
      </c>
      <c r="G2" s="19" t="s">
        <v>5</v>
      </c>
      <c r="H2" s="20" t="s">
        <v>6</v>
      </c>
    </row>
    <row r="3" spans="1:8" ht="14.1" customHeight="1">
      <c r="B3" s="9" t="str">
        <f>IF(AND(YEAR(OctSun1)=CalendarYear,MONTH(OctSun1)=10),OctSun1, "")</f>
        <v/>
      </c>
      <c r="C3" s="5">
        <f>IF(AND(YEAR(OctSun1+1)=CalendarYear,MONTH(OctSun1+1)=10),OctSun1+1, "")</f>
        <v>43374</v>
      </c>
      <c r="D3" s="5">
        <f>IF(AND(YEAR(OctSun1+2)=CalendarYear,MONTH(OctSun1+2)=10),OctSun1+2, "")</f>
        <v>43375</v>
      </c>
      <c r="E3" s="5">
        <f>IF(AND(YEAR(OctSun1+3)=CalendarYear,MONTH(OctSun1+3)=10),OctSun1+3, "")</f>
        <v>43376</v>
      </c>
      <c r="F3" s="5">
        <f>IF(AND(YEAR(OctSun1+4)=CalendarYear,MONTH(OctSun1+4)=10),OctSun1+4, "")</f>
        <v>43377</v>
      </c>
      <c r="G3" s="5">
        <f>IF(AND(YEAR(OctSun1+5)=CalendarYear,MONTH(OctSun1+5)=10),OctSun1+5, "")</f>
        <v>43378</v>
      </c>
      <c r="H3" s="10">
        <f>IF(AND(YEAR(OctSun1+6)=CalendarYear,MONTH(OctSun1+6)=10),OctSun1+6, "")</f>
        <v>43379</v>
      </c>
    </row>
    <row r="4" spans="1:8" ht="135">
      <c r="B4" s="29"/>
      <c r="C4" s="25" t="s">
        <v>73</v>
      </c>
      <c r="D4" s="26" t="s">
        <v>75</v>
      </c>
      <c r="E4" s="26" t="s">
        <v>76</v>
      </c>
      <c r="F4" s="26" t="s">
        <v>77</v>
      </c>
      <c r="G4" s="26" t="s">
        <v>78</v>
      </c>
      <c r="H4" s="30"/>
    </row>
    <row r="5" spans="1:8" ht="14.1" customHeight="1">
      <c r="B5" s="11">
        <f>IF(AND(YEAR(OctSun1+7)=CalendarYear,MONTH(OctSun1+7)=10),OctSun1+7, "")</f>
        <v>43380</v>
      </c>
      <c r="C5" s="5">
        <f>IF(AND(YEAR(OctSun1+8)=CalendarYear,MONTH(OctSun1+8)=10),OctSun1+8, "")</f>
        <v>43381</v>
      </c>
      <c r="D5" s="5">
        <f>IF(AND(YEAR(OctSun1+9)=CalendarYear,MONTH(OctSun1+9)=10),OctSun1+9, "")</f>
        <v>43382</v>
      </c>
      <c r="E5" s="5">
        <f>IF(AND(YEAR(OctSun1+10)=CalendarYear,MONTH(OctSun1+10)=10),OctSun1+10, "")</f>
        <v>43383</v>
      </c>
      <c r="F5" s="5">
        <f>IF(AND(YEAR(OctSun1+11)=CalendarYear,MONTH(OctSun1+11)=10),OctSun1+11, "")</f>
        <v>43384</v>
      </c>
      <c r="G5" s="5">
        <f>IF(AND(YEAR(OctSun1+12)=CalendarYear,MONTH(OctSun1+12)=10),OctSun1+12,"")</f>
        <v>43385</v>
      </c>
      <c r="H5" s="10">
        <f>IF(AND(YEAR(OctSun1+13)=CalendarYear,MONTH(OctSun1+13)=10),OctSun1+13, "")</f>
        <v>43386</v>
      </c>
    </row>
    <row r="6" spans="1:8" ht="135">
      <c r="B6" s="29"/>
      <c r="C6" s="25" t="s">
        <v>83</v>
      </c>
      <c r="D6" s="26" t="s">
        <v>79</v>
      </c>
      <c r="E6" s="26" t="s">
        <v>80</v>
      </c>
      <c r="F6" s="26" t="s">
        <v>81</v>
      </c>
      <c r="G6" s="26" t="s">
        <v>82</v>
      </c>
      <c r="H6" s="30"/>
    </row>
    <row r="7" spans="1:8" ht="14.1" customHeight="1">
      <c r="B7" s="11">
        <f>IF(AND(YEAR(OctSun1+14)=CalendarYear,MONTH(OctSun1+14)=10),OctSun1+14, "")</f>
        <v>43387</v>
      </c>
      <c r="C7" s="5">
        <f>IF(AND(YEAR(OctSun1+15)=CalendarYear,MONTH(OctSun1+15)=10),OctSun1+15, "")</f>
        <v>43388</v>
      </c>
      <c r="D7" s="5">
        <f>IF(AND(YEAR(OctSun1+16)=CalendarYear,MONTH(OctSun1+16)=10),OctSun1+16, "")</f>
        <v>43389</v>
      </c>
      <c r="E7" s="5">
        <f>IF(AND(YEAR(OctSun1+17)=CalendarYear,MONTH(OctSun1+17)=10),OctSun1+17, "")</f>
        <v>43390</v>
      </c>
      <c r="F7" s="5">
        <f>IF(AND(YEAR(OctSun1+18)=CalendarYear,MONTH(OctSun1+18)=10),OctSun1+18, "")</f>
        <v>43391</v>
      </c>
      <c r="G7" s="5">
        <f>IF(AND(YEAR(OctSun1+19)=CalendarYear,MONTH(OctSun1+19)=10),OctSun1+19, "")</f>
        <v>43392</v>
      </c>
      <c r="H7" s="10">
        <f>IF(AND(YEAR(OctSun1+20)=CalendarYear,MONTH(OctSun1+20)=10),OctSun1+20, "")</f>
        <v>43393</v>
      </c>
    </row>
    <row r="8" spans="1:8" ht="148.5">
      <c r="B8" s="29"/>
      <c r="C8" s="25" t="s">
        <v>84</v>
      </c>
      <c r="D8" s="25" t="s">
        <v>85</v>
      </c>
      <c r="E8" s="25" t="s">
        <v>86</v>
      </c>
      <c r="F8" s="38" t="s">
        <v>87</v>
      </c>
      <c r="G8" s="59" t="s">
        <v>88</v>
      </c>
      <c r="H8" s="30"/>
    </row>
    <row r="9" spans="1:8" ht="14.1" customHeight="1">
      <c r="B9" s="12">
        <f>IF(AND(YEAR(OctSun1+21)=CalendarYear,MONTH(OctSun1+21)=10),OctSun1+21, "")</f>
        <v>43394</v>
      </c>
      <c r="C9" s="6">
        <f>IF(AND(YEAR(OctSun1+22)=CalendarYear,MONTH(OctSun1+22)=10),OctSun1+22, "")</f>
        <v>43395</v>
      </c>
      <c r="D9" s="6">
        <f>IF(AND(YEAR(OctSun1+23)=CalendarYear,MONTH(OctSun1+23)=10),OctSun1+23, "")</f>
        <v>43396</v>
      </c>
      <c r="E9" s="6">
        <f>IF(AND(YEAR(OctSun1+24)=CalendarYear,MONTH(OctSun1+24)=10),OctSun1+24, "")</f>
        <v>43397</v>
      </c>
      <c r="F9" s="6">
        <f>IF(AND(YEAR(OctSun1+25)=CalendarYear,MONTH(OctSun1+25)=10),OctSun1+25, "")</f>
        <v>43398</v>
      </c>
      <c r="G9" s="6">
        <f>IF(AND(YEAR(OctSun1+26)=CalendarYear,MONTH(OctSun1+26)=10),OctSun1+26, "")</f>
        <v>43399</v>
      </c>
      <c r="H9" s="13">
        <f>IF(AND(YEAR(OctSun1+27)=CalendarYear,MONTH(OctSun1+27)=10),OctSun1+27, "")</f>
        <v>43400</v>
      </c>
    </row>
    <row r="10" spans="1:8" ht="81">
      <c r="B10" s="29"/>
      <c r="C10" s="55"/>
      <c r="D10" s="25" t="s">
        <v>90</v>
      </c>
      <c r="E10" s="39" t="s">
        <v>89</v>
      </c>
      <c r="F10" s="39" t="s">
        <v>91</v>
      </c>
      <c r="G10" s="39"/>
      <c r="H10" s="30"/>
    </row>
    <row r="11" spans="1:8" ht="14.1" customHeight="1">
      <c r="B11" s="12">
        <f>IF(AND(YEAR(OctSun1+28)=CalendarYear,MONTH(OctSun1+28)=10),OctSun1+28, "")</f>
        <v>43401</v>
      </c>
      <c r="C11" s="6">
        <f>IF(AND(YEAR(OctSun1+29)=CalendarYear,MONTH(OctSun1+29)=10),OctSun1+29, "")</f>
        <v>43402</v>
      </c>
      <c r="D11" s="6">
        <f>IF(AND(YEAR(OctSun1+30)=CalendarYear,MONTH(OctSun1+30)=10),OctSun1+30, "")</f>
        <v>43403</v>
      </c>
      <c r="E11" s="6">
        <f>IF(AND(YEAR(OctSun1+31)=CalendarYear,MONTH(OctSun1+31)=10),OctSun1+31, "")</f>
        <v>43404</v>
      </c>
      <c r="F11" s="6" t="str">
        <f>IF(AND(YEAR(OctSun1+32)=CalendarYear,MONTH(OctSun1+32)=10),OctSun1+32, "")</f>
        <v/>
      </c>
      <c r="G11" s="6" t="str">
        <f>IF(AND(YEAR(OctSun1+33)=CalendarYear,MONTH(OctSun1+33)=10),OctSun1+33, "")</f>
        <v/>
      </c>
      <c r="H11" s="13" t="str">
        <f>IF(AND(YEAR(OctSun1+34)=CalendarYear,MONTH(OctSun1+34)=10),OctSun1+34, "")</f>
        <v/>
      </c>
    </row>
    <row r="12" spans="1:8" ht="81">
      <c r="B12" s="29"/>
      <c r="C12" s="38" t="s">
        <v>92</v>
      </c>
      <c r="D12" s="26" t="s">
        <v>94</v>
      </c>
      <c r="E12" s="54" t="s">
        <v>93</v>
      </c>
      <c r="G12" s="25"/>
      <c r="H12" s="30"/>
    </row>
    <row r="13" spans="1:8" ht="14.1" customHeight="1">
      <c r="B13" s="28" t="str">
        <f>IF(AND(YEAR(OctSun1+35)=CalendarYear,MONTH(OctSun1+35)=10),OctSun1+35, "")</f>
        <v/>
      </c>
      <c r="C13" s="24" t="str">
        <f>IF(AND(YEAR(OctSun1+36)=CalendarYear,MONTH(OctSun1+36)=10),OctSun1+36, "")</f>
        <v/>
      </c>
      <c r="D13" s="65"/>
      <c r="E13" s="65"/>
      <c r="F13" s="65"/>
      <c r="G13" s="65"/>
      <c r="H13" s="66"/>
    </row>
    <row r="14" spans="1:8" ht="57.95" customHeight="1" thickBot="1">
      <c r="B14" s="31"/>
      <c r="C14" s="27"/>
      <c r="D14" s="62"/>
      <c r="E14" s="63"/>
      <c r="F14" s="63"/>
      <c r="G14" s="63"/>
      <c r="H14" s="64"/>
    </row>
  </sheetData>
  <mergeCells count="3">
    <mergeCell ref="B1:H1"/>
    <mergeCell ref="D13:H13"/>
    <mergeCell ref="D14:H14"/>
  </mergeCells>
  <phoneticPr fontId="1" type="noConversion"/>
  <printOptions horizontalCentered="1"/>
  <pageMargins left="0.5" right="0.5" top="0.75" bottom="0.75" header="0.5" footer="0.5"/>
  <pageSetup paperSize="9" orientation="portrait" r:id="rId1"/>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showGridLines="0" topLeftCell="D11" workbookViewId="0">
      <selection activeCell="G12" sqref="G12"/>
    </sheetView>
  </sheetViews>
  <sheetFormatPr baseColWidth="10" defaultColWidth="8.75" defaultRowHeight="14.25"/>
  <cols>
    <col min="1" max="1" width="2.375" style="1" customWidth="1"/>
    <col min="2" max="2" width="17.625" style="4" customWidth="1"/>
    <col min="3" max="3" width="28.625" style="4" customWidth="1"/>
    <col min="4" max="4" width="34" style="4" customWidth="1"/>
    <col min="5" max="5" width="38" style="4" customWidth="1"/>
    <col min="6" max="6" width="33.125" style="4" customWidth="1"/>
    <col min="7" max="7" width="27.875" style="4" customWidth="1"/>
    <col min="8" max="8" width="17.625" style="4" customWidth="1"/>
    <col min="9" max="16384" width="8.75" style="4"/>
  </cols>
  <sheetData>
    <row r="1" spans="1:8" s="1" customFormat="1" ht="59.25" customHeight="1" thickBot="1">
      <c r="B1" s="61">
        <f>DATE(CalendarYear,11,1)</f>
        <v>43405</v>
      </c>
      <c r="C1" s="61"/>
      <c r="D1" s="61"/>
      <c r="E1" s="61"/>
      <c r="F1" s="61"/>
      <c r="G1" s="61"/>
      <c r="H1" s="61"/>
    </row>
    <row r="2" spans="1:8" s="3" customFormat="1" ht="21.75" customHeight="1">
      <c r="A2" s="2"/>
      <c r="B2" s="18" t="s">
        <v>0</v>
      </c>
      <c r="C2" s="19" t="s">
        <v>1</v>
      </c>
      <c r="D2" s="19" t="s">
        <v>2</v>
      </c>
      <c r="E2" s="19" t="s">
        <v>3</v>
      </c>
      <c r="F2" s="19" t="s">
        <v>4</v>
      </c>
      <c r="G2" s="19" t="s">
        <v>5</v>
      </c>
      <c r="H2" s="20" t="s">
        <v>6</v>
      </c>
    </row>
    <row r="3" spans="1:8" ht="14.1" customHeight="1">
      <c r="B3" s="9" t="str">
        <f>IF(AND(YEAR(NovSun1)=CalendarYear,MONTH(NovSun1)=11),NovSun1, "")</f>
        <v/>
      </c>
      <c r="C3" s="5" t="str">
        <f>IF(AND(YEAR(NovSun1+1)=CalendarYear,MONTH(NovSun1+1)=11),NovSun1+1, "")</f>
        <v/>
      </c>
      <c r="D3" s="5" t="str">
        <f>IF(AND(YEAR(NovSun1+2)=CalendarYear,MONTH(NovSun1+2)=11),NovSun1+2, "")</f>
        <v/>
      </c>
      <c r="E3" s="5" t="str">
        <f>IF(AND(YEAR(NovSun1+3)=CalendarYear,MONTH(NovSun1+3)=11),NovSun1+3, "")</f>
        <v/>
      </c>
      <c r="F3" s="5">
        <f>IF(AND(YEAR(NovSun1+4)=CalendarYear,MONTH(NovSun1+4)=11),NovSun1+4, "")</f>
        <v>43405</v>
      </c>
      <c r="G3" s="5">
        <f>IF(AND(YEAR(NovSun1+5)=CalendarYear,MONTH(NovSun1+5)=11),NovSun1+5, "")</f>
        <v>43406</v>
      </c>
      <c r="H3" s="10">
        <f>IF(AND(YEAR(NovSun1+6)=CalendarYear,MONTH(NovSun1+6)=11),NovSun1+6, "")</f>
        <v>43407</v>
      </c>
    </row>
    <row r="4" spans="1:8" ht="57.95" customHeight="1">
      <c r="B4" s="29"/>
      <c r="C4" s="25"/>
      <c r="D4" s="26"/>
      <c r="E4" s="26"/>
      <c r="F4" s="38" t="s">
        <v>95</v>
      </c>
      <c r="G4" s="38" t="s">
        <v>96</v>
      </c>
      <c r="H4" s="30"/>
    </row>
    <row r="5" spans="1:8" ht="14.1" customHeight="1">
      <c r="B5" s="11">
        <f>IF(AND(YEAR(NovSun1+7)=CalendarYear,MONTH(NovSun1+7)=11),NovSun1+7, "")</f>
        <v>43408</v>
      </c>
      <c r="C5" s="5">
        <f>IF(AND(YEAR(NovSun1+8)=CalendarYear,MONTH(NovSun1+8)=11),NovSun1+8, "")</f>
        <v>43409</v>
      </c>
      <c r="D5" s="5">
        <f>IF(AND(YEAR(NovSun1+9)=CalendarYear,MONTH(NovSun1+9)=11),NovSun1+9, "")</f>
        <v>43410</v>
      </c>
      <c r="E5" s="5">
        <f>IF(AND(YEAR(NovSun1+10)=CalendarYear,MONTH(NovSun1+10)=11),NovSun1+10, "")</f>
        <v>43411</v>
      </c>
      <c r="F5" s="5">
        <f>IF(AND(YEAR(NovSun1+11)=CalendarYear,MONTH(NovSun1+11)=11),NovSun1+11, "")</f>
        <v>43412</v>
      </c>
      <c r="G5" s="5">
        <f>IF(AND(YEAR(NovSun1+12)=CalendarYear,MONTH(NovSun1+12)=11),NovSun1+12,"")</f>
        <v>43413</v>
      </c>
      <c r="H5" s="10">
        <f>IF(AND(YEAR(NovSun1+13)=CalendarYear,MONTH(NovSun1+13)=11),NovSun1+13, "")</f>
        <v>43414</v>
      </c>
    </row>
    <row r="6" spans="1:8" ht="94.5">
      <c r="B6" s="29"/>
      <c r="C6" s="57" t="s">
        <v>97</v>
      </c>
      <c r="D6" s="26" t="s">
        <v>98</v>
      </c>
      <c r="E6" s="26" t="s">
        <v>99</v>
      </c>
      <c r="F6" s="26" t="s">
        <v>100</v>
      </c>
      <c r="G6" s="39" t="s">
        <v>101</v>
      </c>
      <c r="H6" s="30"/>
    </row>
    <row r="7" spans="1:8" ht="14.1" customHeight="1">
      <c r="B7" s="11">
        <f>IF(AND(YEAR(NovSun1+14)=CalendarYear,MONTH(NovSun1+14)=11),NovSun1+14, "")</f>
        <v>43415</v>
      </c>
      <c r="C7" s="5">
        <f>IF(AND(YEAR(NovSun1+15)=CalendarYear,MONTH(NovSun1+15)=11),NovSun1+15, "")</f>
        <v>43416</v>
      </c>
      <c r="D7" s="5">
        <f>IF(AND(YEAR(NovSun1+16)=CalendarYear,MONTH(NovSun1+16)=11),NovSun1+16, "")</f>
        <v>43417</v>
      </c>
      <c r="E7" s="5">
        <f>IF(AND(YEAR(NovSun1+17)=CalendarYear,MONTH(NovSun1+17)=11),NovSun1+17, "")</f>
        <v>43418</v>
      </c>
      <c r="F7" s="5">
        <f>IF(AND(YEAR(NovSun1+18)=CalendarYear,MONTH(NovSun1+18)=11),NovSun1+18, "")</f>
        <v>43419</v>
      </c>
      <c r="G7" s="5">
        <f>IF(AND(YEAR(NovSun1+19)=CalendarYear,MONTH(NovSun1+19)=11),NovSun1+19, "")</f>
        <v>43420</v>
      </c>
      <c r="H7" s="10">
        <f>IF(AND(YEAR(NovSun1+20)=CalendarYear,MONTH(NovSun1+20)=11),NovSun1+20, "")</f>
        <v>43421</v>
      </c>
    </row>
    <row r="8" spans="1:8" ht="135">
      <c r="B8" s="29"/>
      <c r="C8" s="25" t="s">
        <v>102</v>
      </c>
      <c r="D8" s="39" t="s">
        <v>103</v>
      </c>
      <c r="E8" s="39" t="s">
        <v>104</v>
      </c>
      <c r="F8" s="60" t="s">
        <v>105</v>
      </c>
      <c r="G8" s="39" t="s">
        <v>108</v>
      </c>
      <c r="H8" s="30"/>
    </row>
    <row r="9" spans="1:8" ht="14.1" customHeight="1">
      <c r="B9" s="12">
        <f>IF(AND(YEAR(NovSun1+21)=CalendarYear,MONTH(NovSun1+21)=11),NovSun1+21, "")</f>
        <v>43422</v>
      </c>
      <c r="C9" s="6">
        <f>IF(AND(YEAR(NovSun1+22)=CalendarYear,MONTH(NovSun1+22)=11),NovSun1+22, "")</f>
        <v>43423</v>
      </c>
      <c r="D9" s="6">
        <f>IF(AND(YEAR(NovSun1+23)=CalendarYear,MONTH(NovSun1+23)=11),NovSun1+23, "")</f>
        <v>43424</v>
      </c>
      <c r="E9" s="6">
        <f>IF(AND(YEAR(NovSun1+24)=CalendarYear,MONTH(NovSun1+24)=11),NovSun1+24, "")</f>
        <v>43425</v>
      </c>
      <c r="F9" s="6">
        <f>IF(AND(YEAR(NovSun1+25)=CalendarYear,MONTH(NovSun1+25)=11),NovSun1+25, "")</f>
        <v>43426</v>
      </c>
      <c r="G9" s="6">
        <f>IF(AND(YEAR(NovSun1+26)=CalendarYear,MONTH(NovSun1+26)=11),NovSun1+26, "")</f>
        <v>43427</v>
      </c>
      <c r="H9" s="13">
        <f>IF(AND(YEAR(NovSun1+27)=CalendarYear,MONTH(NovSun1+27)=11),NovSun1+27, "")</f>
        <v>43428</v>
      </c>
    </row>
    <row r="10" spans="1:8" ht="104.25" customHeight="1">
      <c r="B10" s="29"/>
      <c r="C10" s="38" t="s">
        <v>106</v>
      </c>
      <c r="D10" s="55" t="s">
        <v>107</v>
      </c>
      <c r="E10" s="26" t="s">
        <v>109</v>
      </c>
      <c r="F10" s="26" t="s">
        <v>110</v>
      </c>
      <c r="G10" s="26" t="s">
        <v>111</v>
      </c>
      <c r="H10" s="30"/>
    </row>
    <row r="11" spans="1:8" ht="14.1" customHeight="1">
      <c r="B11" s="12">
        <f>IF(AND(YEAR(NovSun1+28)=CalendarYear,MONTH(NovSun1+28)=11),NovSun1+28, "")</f>
        <v>43429</v>
      </c>
      <c r="C11" s="6">
        <f>IF(AND(YEAR(NovSun1+29)=CalendarYear,MONTH(NovSun1+29)=11),NovSun1+29, "")</f>
        <v>43430</v>
      </c>
      <c r="D11" s="6">
        <f>IF(AND(YEAR(NovSun1+30)=CalendarYear,MONTH(NovSun1+30)=11),NovSun1+30, "")</f>
        <v>43431</v>
      </c>
      <c r="E11" s="6">
        <f>IF(AND(YEAR(NovSun1+31)=CalendarYear,MONTH(NovSun1+31)=11),NovSun1+31, "")</f>
        <v>43432</v>
      </c>
      <c r="F11" s="6">
        <f>IF(AND(YEAR(NovSun1+32)=CalendarYear,MONTH(NovSun1+32)=11),NovSun1+32, "")</f>
        <v>43433</v>
      </c>
      <c r="G11" s="6">
        <f>IF(AND(YEAR(NovSun1+33)=CalendarYear,MONTH(NovSun1+33)=11),NovSun1+33, "")</f>
        <v>43434</v>
      </c>
      <c r="H11" s="13" t="str">
        <f>IF(AND(YEAR(NovSun1+34)=CalendarYear,MONTH(NovSun1+34)=11),NovSun1+34, "")</f>
        <v/>
      </c>
    </row>
    <row r="12" spans="1:8" ht="57.95" customHeight="1">
      <c r="B12" s="29"/>
      <c r="C12" s="38" t="s">
        <v>112</v>
      </c>
      <c r="D12" s="26" t="s">
        <v>113</v>
      </c>
      <c r="E12" s="26" t="s">
        <v>115</v>
      </c>
      <c r="F12" s="39" t="s">
        <v>116</v>
      </c>
      <c r="G12" s="25" t="s">
        <v>117</v>
      </c>
      <c r="H12" s="30"/>
    </row>
    <row r="13" spans="1:8" ht="14.1" customHeight="1">
      <c r="B13" s="28" t="str">
        <f>IF(AND(YEAR(NovSun1+35)=CalendarYear,MONTH(NovSun1+35)=11),NovSun1+35, "")</f>
        <v/>
      </c>
      <c r="C13" s="71" t="s">
        <v>8</v>
      </c>
      <c r="D13" s="71"/>
      <c r="E13" s="71"/>
      <c r="F13" s="71"/>
      <c r="G13" s="71"/>
      <c r="H13" s="72"/>
    </row>
    <row r="14" spans="1:8" ht="57.95" customHeight="1" thickBot="1">
      <c r="B14" s="31"/>
      <c r="C14" s="62"/>
      <c r="D14" s="63"/>
      <c r="E14" s="63"/>
      <c r="F14" s="63"/>
      <c r="G14" s="63"/>
      <c r="H14" s="64"/>
    </row>
  </sheetData>
  <mergeCells count="3">
    <mergeCell ref="B1:H1"/>
    <mergeCell ref="C13:H13"/>
    <mergeCell ref="C14:H14"/>
  </mergeCells>
  <phoneticPr fontId="1" type="noConversion"/>
  <printOptions horizontalCentered="1"/>
  <pageMargins left="0.5" right="0.5" top="0.75" bottom="0.75" header="0.5" footer="0.5"/>
  <pageSetup paperSize="9" orientation="portrait" r:id="rId1"/>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showGridLines="0" tabSelected="1" topLeftCell="A8" workbookViewId="0">
      <selection activeCell="C12" sqref="C12"/>
    </sheetView>
  </sheetViews>
  <sheetFormatPr baseColWidth="10" defaultColWidth="8.75" defaultRowHeight="14.25"/>
  <cols>
    <col min="1" max="1" width="2.375" style="1" customWidth="1"/>
    <col min="2" max="2" width="17.625" style="4" customWidth="1"/>
    <col min="3" max="3" width="25.875" style="4" customWidth="1"/>
    <col min="4" max="4" width="26.375" style="4" customWidth="1"/>
    <col min="5" max="5" width="28.25" style="4" customWidth="1"/>
    <col min="6" max="6" width="34.5" style="4" customWidth="1"/>
    <col min="7" max="7" width="27.375" style="4" customWidth="1"/>
    <col min="8" max="8" width="17.625" style="4" customWidth="1"/>
    <col min="9" max="16384" width="8.75" style="4"/>
  </cols>
  <sheetData>
    <row r="1" spans="1:8" s="1" customFormat="1" ht="59.25" customHeight="1" thickBot="1">
      <c r="B1" s="61">
        <f>DATE(CalendarYear,12,1)</f>
        <v>43435</v>
      </c>
      <c r="C1" s="61"/>
      <c r="D1" s="61"/>
      <c r="E1" s="61"/>
      <c r="F1" s="61"/>
      <c r="G1" s="61"/>
      <c r="H1" s="61"/>
    </row>
    <row r="2" spans="1:8" s="3" customFormat="1" ht="21.75" customHeight="1">
      <c r="A2" s="2"/>
      <c r="B2" s="18" t="s">
        <v>0</v>
      </c>
      <c r="C2" s="19" t="s">
        <v>1</v>
      </c>
      <c r="D2" s="19" t="s">
        <v>2</v>
      </c>
      <c r="E2" s="19" t="s">
        <v>3</v>
      </c>
      <c r="F2" s="19" t="s">
        <v>4</v>
      </c>
      <c r="G2" s="19" t="s">
        <v>5</v>
      </c>
      <c r="H2" s="20" t="s">
        <v>6</v>
      </c>
    </row>
    <row r="3" spans="1:8" ht="14.1" customHeight="1">
      <c r="B3" s="9" t="str">
        <f>IF(AND(YEAR(DecSun1)=CalendarYear,MONTH(DecSun1)=12),DecSun1, "")</f>
        <v/>
      </c>
      <c r="C3" s="5" t="str">
        <f>IF(AND(YEAR(DecSun1+1)=CalendarYear,MONTH(DecSun1+1)=12),DecSun1+1, "")</f>
        <v/>
      </c>
      <c r="D3" s="5" t="str">
        <f>IF(AND(YEAR(DecSun1+2)=CalendarYear,MONTH(DecSun1+2)=12),DecSun1+2, "")</f>
        <v/>
      </c>
      <c r="E3" s="5" t="str">
        <f>IF(AND(YEAR(DecSun1+3)=CalendarYear,MONTH(DecSun1+3)=12),DecSun1+3, "")</f>
        <v/>
      </c>
      <c r="F3" s="5" t="str">
        <f>IF(AND(YEAR(DecSun1+4)=CalendarYear,MONTH(DecSun1+4)=12),DecSun1+4, "")</f>
        <v/>
      </c>
      <c r="G3" s="5" t="str">
        <f>IF(AND(YEAR(DecSun1+5)=CalendarYear,MONTH(DecSun1+5)=12),DecSun1+5, "")</f>
        <v/>
      </c>
      <c r="H3" s="10">
        <f>IF(AND(YEAR(DecSun1+6)=CalendarYear,MONTH(DecSun1+6)=12),DecSun1+6, "")</f>
        <v>43435</v>
      </c>
    </row>
    <row r="4" spans="1:8" ht="57.95" customHeight="1">
      <c r="B4" s="29"/>
      <c r="C4" s="25"/>
      <c r="D4" s="26"/>
      <c r="E4" s="26"/>
      <c r="F4" s="26"/>
      <c r="G4" s="26"/>
      <c r="H4" s="30"/>
    </row>
    <row r="5" spans="1:8" ht="14.1" customHeight="1">
      <c r="B5" s="11">
        <f>IF(AND(YEAR(DecSun1+7)=CalendarYear,MONTH(DecSun1+7)=12),DecSun1+7, "")</f>
        <v>43436</v>
      </c>
      <c r="C5" s="5">
        <f>IF(AND(YEAR(DecSun1+8)=CalendarYear,MONTH(DecSun1+8)=12),DecSun1+8, "")</f>
        <v>43437</v>
      </c>
      <c r="D5" s="5">
        <f>IF(AND(YEAR(DecSun1+9)=CalendarYear,MONTH(DecSun1+9)=12),DecSun1+9, "")</f>
        <v>43438</v>
      </c>
      <c r="E5" s="5">
        <f>IF(AND(YEAR(DecSun1+10)=CalendarYear,MONTH(DecSun1+10)=12),DecSun1+10, "")</f>
        <v>43439</v>
      </c>
      <c r="F5" s="5">
        <f>IF(AND(YEAR(DecSun1+11)=CalendarYear,MONTH(DecSun1+11)=12),DecSun1+11, "")</f>
        <v>43440</v>
      </c>
      <c r="G5" s="5">
        <f>IF(AND(YEAR(DecSun1+12)=CalendarYear,MONTH(DecSun1+12)=12),DecSun1+12,"")</f>
        <v>43441</v>
      </c>
      <c r="H5" s="10">
        <f>IF(AND(YEAR(DecSun1+13)=CalendarYear,MONTH(DecSun1+13)=12),DecSun1+13, "")</f>
        <v>43442</v>
      </c>
    </row>
    <row r="6" spans="1:8" ht="81">
      <c r="B6" s="29"/>
      <c r="C6" s="38" t="s">
        <v>114</v>
      </c>
      <c r="D6" s="54" t="s">
        <v>118</v>
      </c>
      <c r="E6" s="39" t="s">
        <v>119</v>
      </c>
      <c r="F6" s="54" t="s">
        <v>120</v>
      </c>
      <c r="G6" s="26" t="s">
        <v>121</v>
      </c>
      <c r="H6" s="30"/>
    </row>
    <row r="7" spans="1:8" ht="14.1" customHeight="1">
      <c r="B7" s="11">
        <f>IF(AND(YEAR(DecSun1+14)=CalendarYear,MONTH(DecSun1+14)=12),DecSun1+14, "")</f>
        <v>43443</v>
      </c>
      <c r="C7" s="5">
        <f>IF(AND(YEAR(DecSun1+15)=CalendarYear,MONTH(DecSun1+15)=12),DecSun1+15, "")</f>
        <v>43444</v>
      </c>
      <c r="D7" s="5">
        <f>IF(AND(YEAR(DecSun1+16)=CalendarYear,MONTH(DecSun1+16)=12),DecSun1+16, "")</f>
        <v>43445</v>
      </c>
      <c r="E7" s="5">
        <f>IF(AND(YEAR(DecSun1+17)=CalendarYear,MONTH(DecSun1+17)=12),DecSun1+17, "")</f>
        <v>43446</v>
      </c>
      <c r="F7" s="5">
        <f>IF(AND(YEAR(DecSun1+18)=CalendarYear,MONTH(DecSun1+18)=12),DecSun1+18, "")</f>
        <v>43447</v>
      </c>
      <c r="G7" s="5">
        <f>IF(AND(YEAR(DecSun1+19)=CalendarYear,MONTH(DecSun1+19)=12),DecSun1+19, "")</f>
        <v>43448</v>
      </c>
      <c r="H7" s="10">
        <f>IF(AND(YEAR(DecSun1+20)=CalendarYear,MONTH(DecSun1+20)=12),DecSun1+20, "")</f>
        <v>43449</v>
      </c>
    </row>
    <row r="8" spans="1:8" ht="121.5">
      <c r="B8" s="29"/>
      <c r="C8" s="38" t="s">
        <v>122</v>
      </c>
      <c r="D8" s="39" t="s">
        <v>123</v>
      </c>
      <c r="E8" s="39" t="s">
        <v>124</v>
      </c>
      <c r="F8" s="39" t="s">
        <v>125</v>
      </c>
      <c r="G8" s="39" t="s">
        <v>126</v>
      </c>
      <c r="H8" s="30"/>
    </row>
    <row r="9" spans="1:8" ht="14.1" customHeight="1">
      <c r="B9" s="12">
        <f>IF(AND(YEAR(DecSun1+21)=CalendarYear,MONTH(DecSun1+21)=12),DecSun1+21, "")</f>
        <v>43450</v>
      </c>
      <c r="C9" s="6">
        <f>IF(AND(YEAR(DecSun1+22)=CalendarYear,MONTH(DecSun1+22)=12),DecSun1+22, "")</f>
        <v>43451</v>
      </c>
      <c r="D9" s="6">
        <f>IF(AND(YEAR(DecSun1+23)=CalendarYear,MONTH(DecSun1+23)=12),DecSun1+23, "")</f>
        <v>43452</v>
      </c>
      <c r="E9" s="6">
        <f>IF(AND(YEAR(DecSun1+24)=CalendarYear,MONTH(DecSun1+24)=12),DecSun1+24, "")</f>
        <v>43453</v>
      </c>
      <c r="F9" s="6">
        <f>IF(AND(YEAR(DecSun1+25)=CalendarYear,MONTH(DecSun1+25)=12),DecSun1+25, "")</f>
        <v>43454</v>
      </c>
      <c r="G9" s="6">
        <f>IF(AND(YEAR(DecSun1+26)=CalendarYear,MONTH(DecSun1+26)=12),DecSun1+26, "")</f>
        <v>43455</v>
      </c>
      <c r="H9" s="13">
        <f>IF(AND(YEAR(DecSun1+27)=CalendarYear,MONTH(DecSun1+27)=12),DecSun1+27, "")</f>
        <v>43456</v>
      </c>
    </row>
    <row r="10" spans="1:8" ht="94.5">
      <c r="B10" s="29"/>
      <c r="C10" s="58" t="s">
        <v>127</v>
      </c>
      <c r="D10" s="54" t="s">
        <v>129</v>
      </c>
      <c r="E10" s="26" t="s">
        <v>130</v>
      </c>
      <c r="F10" s="26" t="s">
        <v>131</v>
      </c>
      <c r="G10" s="26" t="s">
        <v>128</v>
      </c>
      <c r="H10" s="30"/>
    </row>
    <row r="11" spans="1:8" ht="14.1" customHeight="1">
      <c r="B11" s="12">
        <f>IF(AND(YEAR(DecSun1+28)=CalendarYear,MONTH(DecSun1+28)=12),DecSun1+28, "")</f>
        <v>43457</v>
      </c>
      <c r="C11" s="6">
        <f>IF(AND(YEAR(DecSun1+29)=CalendarYear,MONTH(DecSun1+29)=12),DecSun1+29, "")</f>
        <v>43458</v>
      </c>
      <c r="D11" s="6">
        <f>IF(AND(YEAR(DecSun1+30)=CalendarYear,MONTH(DecSun1+30)=12),DecSun1+30, "")</f>
        <v>43459</v>
      </c>
      <c r="E11" s="6">
        <f>IF(AND(YEAR(DecSun1+31)=CalendarYear,MONTH(DecSun1+31)=12),DecSun1+31, "")</f>
        <v>43460</v>
      </c>
      <c r="F11" s="6">
        <f>IF(AND(YEAR(DecSun1+32)=CalendarYear,MONTH(DecSun1+32)=12),DecSun1+32, "")</f>
        <v>43461</v>
      </c>
      <c r="G11" s="6">
        <f>IF(AND(YEAR(DecSun1+33)=CalendarYear,MONTH(DecSun1+33)=12),DecSun1+33, "")</f>
        <v>43462</v>
      </c>
      <c r="H11" s="13">
        <f>IF(AND(YEAR(DecSun1+34)=CalendarYear,MONTH(DecSun1+34)=12),DecSun1+34, "")</f>
        <v>43463</v>
      </c>
    </row>
    <row r="12" spans="1:8" ht="57.95" customHeight="1">
      <c r="B12" s="29"/>
      <c r="C12" s="58" t="s">
        <v>132</v>
      </c>
      <c r="D12" s="26"/>
      <c r="E12" s="26"/>
      <c r="F12" s="25"/>
      <c r="G12" s="25"/>
      <c r="H12" s="30"/>
    </row>
    <row r="13" spans="1:8" ht="14.1" customHeight="1">
      <c r="B13" s="28">
        <f>IF(AND(YEAR(DecSun1+35)=CalendarYear,MONTH(DecSun1+35)=12),DecSun1+35, "")</f>
        <v>43464</v>
      </c>
      <c r="C13" s="24">
        <f>IF(AND(YEAR(DecSun1+36)=CalendarYear,MONTH(DecSun1+36)=12),DecSun1+36, "")</f>
        <v>43465</v>
      </c>
      <c r="D13" s="65" t="s">
        <v>8</v>
      </c>
      <c r="E13" s="65"/>
      <c r="F13" s="65"/>
      <c r="G13" s="65"/>
      <c r="H13" s="66"/>
    </row>
    <row r="14" spans="1:8" ht="57.95" customHeight="1" thickBot="1">
      <c r="B14" s="31"/>
      <c r="C14" s="27"/>
      <c r="D14" s="62"/>
      <c r="E14" s="63"/>
      <c r="F14" s="63"/>
      <c r="G14" s="63"/>
      <c r="H14" s="64"/>
    </row>
  </sheetData>
  <mergeCells count="3">
    <mergeCell ref="B1:H1"/>
    <mergeCell ref="D13:H13"/>
    <mergeCell ref="D14:H14"/>
  </mergeCells>
  <phoneticPr fontId="1" type="noConversion"/>
  <printOptions horizontalCentered="1"/>
  <pageMargins left="0.5" right="0.5" top="0.75" bottom="0.75" header="0.5" footer="0.5"/>
  <pageSetup paperSize="9" orientation="portrait" r:id="rId1"/>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18"/>
  <sheetViews>
    <sheetView workbookViewId="0">
      <selection activeCell="C17" sqref="C17"/>
    </sheetView>
  </sheetViews>
  <sheetFormatPr baseColWidth="10" defaultColWidth="8.75" defaultRowHeight="14.25"/>
  <cols>
    <col min="1" max="1" width="10.375" style="4" customWidth="1"/>
    <col min="2" max="2" width="9.625" style="4" customWidth="1"/>
    <col min="3" max="3" width="9.75" style="4" customWidth="1"/>
    <col min="4" max="16384" width="8.75" style="4"/>
  </cols>
  <sheetData>
    <row r="1" spans="1:3" ht="16.5">
      <c r="A1" s="21" t="s">
        <v>7</v>
      </c>
      <c r="B1" s="22"/>
    </row>
    <row r="2" spans="1:3" ht="16.5">
      <c r="A2" s="22">
        <v>2010</v>
      </c>
      <c r="B2" s="22"/>
    </row>
    <row r="3" spans="1:3" ht="16.5">
      <c r="A3" s="22">
        <v>2011</v>
      </c>
      <c r="B3" s="22"/>
    </row>
    <row r="4" spans="1:3" ht="16.5">
      <c r="A4" s="22">
        <v>2012</v>
      </c>
      <c r="B4" s="22"/>
    </row>
    <row r="5" spans="1:3" ht="16.5">
      <c r="A5" s="22">
        <v>2013</v>
      </c>
      <c r="B5" s="22"/>
    </row>
    <row r="6" spans="1:3" ht="16.5">
      <c r="A6" s="22">
        <v>2014</v>
      </c>
      <c r="B6" s="22"/>
    </row>
    <row r="7" spans="1:3" ht="16.5">
      <c r="A7" s="22">
        <v>2015</v>
      </c>
      <c r="B7" s="22"/>
    </row>
    <row r="8" spans="1:3" ht="16.5">
      <c r="A8" s="23">
        <v>2016</v>
      </c>
      <c r="B8" s="22"/>
    </row>
    <row r="9" spans="1:3" ht="16.5">
      <c r="A9" s="23">
        <v>2017</v>
      </c>
      <c r="B9" s="22"/>
    </row>
    <row r="10" spans="1:3" ht="16.5">
      <c r="A10" s="23">
        <v>2018</v>
      </c>
      <c r="B10" s="22"/>
    </row>
    <row r="11" spans="1:3" ht="16.5">
      <c r="A11" s="23">
        <v>2019</v>
      </c>
      <c r="B11" s="22"/>
    </row>
    <row r="12" spans="1:3" ht="16.5">
      <c r="A12" s="23"/>
      <c r="B12" s="22"/>
    </row>
    <row r="13" spans="1:3" ht="16.5">
      <c r="A13" s="23"/>
    </row>
    <row r="14" spans="1:3" ht="16.5">
      <c r="A14" s="23"/>
    </row>
    <row r="15" spans="1:3" ht="16.5">
      <c r="A15" s="23"/>
    </row>
    <row r="16" spans="1:3" ht="16.5">
      <c r="A16" s="23"/>
    </row>
    <row r="17" spans="1:1" ht="16.5">
      <c r="A17" s="23"/>
    </row>
    <row r="18" spans="1:1" ht="16.5">
      <c r="A18" s="23"/>
    </row>
  </sheetData>
  <phoneticPr fontId="1" type="noConversion"/>
  <pageMargins left="0.7" right="0.7" top="0.75" bottom="0.75" header="0.3" footer="0.3"/>
  <legacyDrawing r:id="rId1"/>
  <tableParts count="1">
    <tablePart r:id="rId2"/>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showGridLines="0" workbookViewId="0"/>
  </sheetViews>
  <sheetFormatPr baseColWidth="10" defaultColWidth="8.75" defaultRowHeight="14.25"/>
  <cols>
    <col min="1" max="1" width="2.375" style="1" customWidth="1"/>
    <col min="2" max="8" width="17.625" style="4" customWidth="1"/>
    <col min="9" max="16384" width="8.75" style="4"/>
  </cols>
  <sheetData>
    <row r="1" spans="1:8" s="1" customFormat="1" ht="59.25" customHeight="1" thickBot="1">
      <c r="B1" s="61">
        <f>DATE(CalendarYear,2,1)</f>
        <v>43132</v>
      </c>
      <c r="C1" s="61"/>
      <c r="D1" s="61"/>
      <c r="E1" s="61"/>
      <c r="F1" s="61"/>
      <c r="G1" s="61"/>
      <c r="H1" s="61"/>
    </row>
    <row r="2" spans="1:8" s="3" customFormat="1" ht="21.75" customHeight="1">
      <c r="A2" s="2"/>
      <c r="B2" s="18" t="s">
        <v>0</v>
      </c>
      <c r="C2" s="19" t="s">
        <v>1</v>
      </c>
      <c r="D2" s="19" t="s">
        <v>2</v>
      </c>
      <c r="E2" s="19" t="s">
        <v>3</v>
      </c>
      <c r="F2" s="19" t="s">
        <v>4</v>
      </c>
      <c r="G2" s="19" t="s">
        <v>5</v>
      </c>
      <c r="H2" s="20" t="s">
        <v>6</v>
      </c>
    </row>
    <row r="3" spans="1:8" ht="14.1" customHeight="1">
      <c r="B3" s="9" t="str">
        <f>IF(AND(YEAR(FebSun1)=CalendarYear,MONTH(FebSun1)=2),FebSun1, "")</f>
        <v/>
      </c>
      <c r="C3" s="5" t="str">
        <f>IF(AND(YEAR(FebSun1+1)=CalendarYear,MONTH(FebSun1+1)=2),FebSun1+1, "")</f>
        <v/>
      </c>
      <c r="D3" s="5" t="str">
        <f>IF(AND(YEAR(FebSun1+2)=CalendarYear,MONTH(FebSun1+2)=2),FebSun1+2, "")</f>
        <v/>
      </c>
      <c r="E3" s="5" t="str">
        <f>IF(AND(YEAR(FebSun1+3)=CalendarYear,MONTH(FebSun1+3)=2),FebSun1+3, "")</f>
        <v/>
      </c>
      <c r="F3" s="5">
        <f>IF(AND(YEAR(FebSun1+4)=CalendarYear,MONTH(FebSun1+4)=2),FebSun1+4, "")</f>
        <v>43132</v>
      </c>
      <c r="G3" s="5">
        <f>IF(AND(YEAR(FebSun1+5)=CalendarYear,MONTH(FebSun1+5)=2),FebSun1+5, "")</f>
        <v>43133</v>
      </c>
      <c r="H3" s="10">
        <f>IF(AND(YEAR(FebSun1+6)=CalendarYear,MONTH(FebSun1+6)=2),FebSun1+6, "")</f>
        <v>43134</v>
      </c>
    </row>
    <row r="4" spans="1:8" ht="57.95" customHeight="1">
      <c r="B4" s="29"/>
      <c r="C4" s="25"/>
      <c r="D4" s="26"/>
      <c r="E4" s="26"/>
      <c r="F4" s="26"/>
      <c r="G4" s="26"/>
      <c r="H4" s="30"/>
    </row>
    <row r="5" spans="1:8" ht="14.1" customHeight="1">
      <c r="B5" s="11">
        <f>IF(AND(YEAR(FebSun1+7)=CalendarYear,MONTH(FebSun1+7)=2),FebSun1+7, "")</f>
        <v>43135</v>
      </c>
      <c r="C5" s="5">
        <f>IF(AND(YEAR(FebSun1+8)=CalendarYear,MONTH(FebSun1+8)=2),FebSun1+8, "")</f>
        <v>43136</v>
      </c>
      <c r="D5" s="5">
        <f>IF(AND(YEAR(FebSun1+9)=CalendarYear,MONTH(FebSun1+9)=2),FebSun1+9, "")</f>
        <v>43137</v>
      </c>
      <c r="E5" s="5">
        <f>IF(AND(YEAR(FebSun1+10)=CalendarYear,MONTH(FebSun1+10)=2),FebSun1+10, "")</f>
        <v>43138</v>
      </c>
      <c r="F5" s="5">
        <f>IF(AND(YEAR(FebSun1+11)=CalendarYear,MONTH(FebSun1+11)=2),FebSun1+11, "")</f>
        <v>43139</v>
      </c>
      <c r="G5" s="5">
        <f>IF(AND(YEAR(FebSun1+12)=CalendarYear,MONTH(FebSun1+12)=2),FebSun1+12,"")</f>
        <v>43140</v>
      </c>
      <c r="H5" s="10">
        <f>IF(AND(YEAR(FebSun1+13)=CalendarYear,MONTH(FebSun1+13)=2),FebSun1+13, "")</f>
        <v>43141</v>
      </c>
    </row>
    <row r="6" spans="1:8" ht="57.95" customHeight="1">
      <c r="B6" s="29"/>
      <c r="C6" s="25"/>
      <c r="D6" s="26"/>
      <c r="E6" s="26"/>
      <c r="F6" s="26"/>
      <c r="G6" s="26"/>
      <c r="H6" s="30"/>
    </row>
    <row r="7" spans="1:8" ht="14.1" customHeight="1">
      <c r="B7" s="11">
        <f>IF(AND(YEAR(FebSun1+14)=CalendarYear,MONTH(FebSun1+14)=2),FebSun1+14, "")</f>
        <v>43142</v>
      </c>
      <c r="C7" s="5">
        <f>IF(AND(YEAR(FebSun1+15)=CalendarYear,MONTH(FebSun1+15)=2),FebSun1+15, "")</f>
        <v>43143</v>
      </c>
      <c r="D7" s="5">
        <f>IF(AND(YEAR(FebSun1+16)=CalendarYear,MONTH(FebSun1+16)=2),FebSun1+16, "")</f>
        <v>43144</v>
      </c>
      <c r="E7" s="5">
        <f>IF(AND(YEAR(FebSun1+17)=CalendarYear,MONTH(FebSun1+17)=2),FebSun1+17, "")</f>
        <v>43145</v>
      </c>
      <c r="F7" s="5">
        <f>IF(AND(YEAR(FebSun1+18)=CalendarYear,MONTH(FebSun1+18)=2),FebSun1+18, "")</f>
        <v>43146</v>
      </c>
      <c r="G7" s="5">
        <f>IF(AND(YEAR(FebSun1+19)=CalendarYear,MONTH(FebSun1+19)=2),FebSun1+19, "")</f>
        <v>43147</v>
      </c>
      <c r="H7" s="10">
        <f>IF(AND(YEAR(FebSun1+20)=CalendarYear,MONTH(FebSun1+20)=2),FebSun1+20, "")</f>
        <v>43148</v>
      </c>
    </row>
    <row r="8" spans="1:8" ht="57.95" customHeight="1">
      <c r="B8" s="29"/>
      <c r="C8" s="25"/>
      <c r="D8" s="26"/>
      <c r="E8" s="26"/>
      <c r="F8" s="26"/>
      <c r="G8" s="26"/>
      <c r="H8" s="30"/>
    </row>
    <row r="9" spans="1:8" ht="14.1" customHeight="1">
      <c r="B9" s="12">
        <f>IF(AND(YEAR(FebSun1+21)=CalendarYear,MONTH(FebSun1+21)=2),FebSun1+21, "")</f>
        <v>43149</v>
      </c>
      <c r="C9" s="6">
        <f>IF(AND(YEAR(FebSun1+22)=CalendarYear,MONTH(FebSun1+22)=2),FebSun1+22, "")</f>
        <v>43150</v>
      </c>
      <c r="D9" s="6">
        <f>IF(AND(YEAR(FebSun1+23)=CalendarYear,MONTH(FebSun1+23)=2),FebSun1+23, "")</f>
        <v>43151</v>
      </c>
      <c r="E9" s="6">
        <f>IF(AND(YEAR(FebSun1+24)=CalendarYear,MONTH(FebSun1+24)=2),FebSun1+24, "")</f>
        <v>43152</v>
      </c>
      <c r="F9" s="6">
        <f>IF(AND(YEAR(FebSun1+25)=CalendarYear,MONTH(FebSun1+25)=2),FebSun1+25, "")</f>
        <v>43153</v>
      </c>
      <c r="G9" s="6">
        <f>IF(AND(YEAR(FebSun1+26)=CalendarYear,MONTH(FebSun1+26)=2),FebSun1+26, "")</f>
        <v>43154</v>
      </c>
      <c r="H9" s="13">
        <f>IF(AND(YEAR(FebSun1+27)=CalendarYear,MONTH(FebSun1+27)=2),FebSun1+27, "")</f>
        <v>43155</v>
      </c>
    </row>
    <row r="10" spans="1:8" ht="57.95" customHeight="1">
      <c r="B10" s="29"/>
      <c r="C10" s="25"/>
      <c r="D10" s="26"/>
      <c r="E10" s="26"/>
      <c r="F10" s="26"/>
      <c r="G10" s="26"/>
      <c r="H10" s="30"/>
    </row>
    <row r="11" spans="1:8" ht="14.1" customHeight="1">
      <c r="B11" s="12">
        <f>IF(AND(YEAR(FebSun1+28)=CalendarYear,MONTH(FebSun1+28)=2),FebSun1+28, "")</f>
        <v>43156</v>
      </c>
      <c r="C11" s="6">
        <f>IF(AND(YEAR(FebSun1+29)=CalendarYear,MONTH(FebSun1+29)=2),FebSun1+29, "")</f>
        <v>43157</v>
      </c>
      <c r="D11" s="6">
        <f>IF(AND(YEAR(FebSun1+30)=CalendarYear,MONTH(FebSun1+30)=2),FebSun1+30, "")</f>
        <v>43158</v>
      </c>
      <c r="E11" s="6">
        <f>IF(AND(YEAR(FebSun1+31)=CalendarYear,MONTH(FebSun1+31)=2),FebSun1+31, "")</f>
        <v>43159</v>
      </c>
      <c r="F11" s="6" t="str">
        <f>IF(AND(YEAR(FebSun1+32)=CalendarYear,MONTH(FebSun1+32)=2),FebSun1+32, "")</f>
        <v/>
      </c>
      <c r="G11" s="6" t="str">
        <f>IF(AND(YEAR(FebSun1+33)=CalendarYear,MONTH(FebSun1+33)=2),FebSun1+33, "")</f>
        <v/>
      </c>
      <c r="H11" s="13" t="str">
        <f>IF(AND(YEAR(FebSun1+34)=CalendarYear,MONTH(FebSun1+34)=2),FebSun1+34, "")</f>
        <v/>
      </c>
    </row>
    <row r="12" spans="1:8" ht="57.95" customHeight="1">
      <c r="B12" s="29"/>
      <c r="C12" s="25"/>
      <c r="D12" s="26"/>
      <c r="E12" s="26"/>
      <c r="F12" s="25"/>
      <c r="G12" s="25"/>
      <c r="H12" s="30"/>
    </row>
    <row r="13" spans="1:8" ht="14.1" customHeight="1">
      <c r="B13" s="68" t="s">
        <v>8</v>
      </c>
      <c r="C13" s="69"/>
      <c r="D13" s="69"/>
      <c r="E13" s="69"/>
      <c r="F13" s="69"/>
      <c r="G13" s="69"/>
      <c r="H13" s="70"/>
    </row>
    <row r="14" spans="1:8" ht="57.95" customHeight="1" thickBot="1">
      <c r="B14" s="67"/>
      <c r="C14" s="63"/>
      <c r="D14" s="63"/>
      <c r="E14" s="63"/>
      <c r="F14" s="63"/>
      <c r="G14" s="63"/>
      <c r="H14" s="64"/>
    </row>
  </sheetData>
  <mergeCells count="3">
    <mergeCell ref="B1:H1"/>
    <mergeCell ref="B14:H14"/>
    <mergeCell ref="B13:H13"/>
  </mergeCells>
  <phoneticPr fontId="1" type="noConversion"/>
  <printOptions horizontalCentered="1"/>
  <pageMargins left="0.5" right="0.5" top="0.75" bottom="0.75" header="0.5" footer="0.5"/>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showGridLines="0" workbookViewId="0"/>
  </sheetViews>
  <sheetFormatPr baseColWidth="10" defaultColWidth="8.75" defaultRowHeight="14.25"/>
  <cols>
    <col min="1" max="1" width="2.375" style="1" customWidth="1"/>
    <col min="2" max="8" width="17.625" style="4" customWidth="1"/>
    <col min="9" max="16384" width="8.75" style="4"/>
  </cols>
  <sheetData>
    <row r="1" spans="1:8" s="1" customFormat="1" ht="59.25" customHeight="1" thickBot="1">
      <c r="B1" s="61">
        <f>DATE(CalendarYear,3,1)</f>
        <v>43160</v>
      </c>
      <c r="C1" s="61"/>
      <c r="D1" s="61"/>
      <c r="E1" s="61"/>
      <c r="F1" s="61"/>
      <c r="G1" s="61"/>
      <c r="H1" s="61"/>
    </row>
    <row r="2" spans="1:8" s="3" customFormat="1" ht="21.75" customHeight="1">
      <c r="A2" s="2"/>
      <c r="B2" s="15" t="s">
        <v>0</v>
      </c>
      <c r="C2" s="16" t="s">
        <v>1</v>
      </c>
      <c r="D2" s="16" t="s">
        <v>2</v>
      </c>
      <c r="E2" s="16" t="s">
        <v>3</v>
      </c>
      <c r="F2" s="16" t="s">
        <v>4</v>
      </c>
      <c r="G2" s="16" t="s">
        <v>5</v>
      </c>
      <c r="H2" s="17" t="s">
        <v>6</v>
      </c>
    </row>
    <row r="3" spans="1:8" ht="14.1" customHeight="1">
      <c r="B3" s="9" t="str">
        <f>IF(AND(YEAR(MarSun1)=CalendarYear,MONTH(MarSun1)=3),MarSun1, "")</f>
        <v/>
      </c>
      <c r="C3" s="5" t="str">
        <f>IF(AND(YEAR(MarSun1+1)=CalendarYear,MONTH(MarSun1+1)=3),MarSun1+1, "")</f>
        <v/>
      </c>
      <c r="D3" s="5" t="str">
        <f>IF(AND(YEAR(MarSun1+2)=CalendarYear,MONTH(MarSun1+2)=3),MarSun1+2, "")</f>
        <v/>
      </c>
      <c r="E3" s="5" t="str">
        <f>IF(AND(YEAR(MarSun1+3)=CalendarYear,MONTH(MarSun1+3)=3),MarSun1+3, "")</f>
        <v/>
      </c>
      <c r="F3" s="5">
        <f>IF(AND(YEAR(MarSun1+4)=CalendarYear,MONTH(MarSun1+4)=3),MarSun1+4, "")</f>
        <v>43160</v>
      </c>
      <c r="G3" s="5">
        <f>IF(AND(YEAR(MarSun1+5)=CalendarYear,MONTH(MarSun1+5)=3),MarSun1+5, "")</f>
        <v>43161</v>
      </c>
      <c r="H3" s="10">
        <f>IF(AND(YEAR(MarSun1+6)=CalendarYear,MONTH(MarSun1+6)=3),MarSun1+6, "")</f>
        <v>43162</v>
      </c>
    </row>
    <row r="4" spans="1:8" ht="57.95" customHeight="1">
      <c r="B4" s="29"/>
      <c r="C4" s="25"/>
      <c r="D4" s="26"/>
      <c r="E4" s="26"/>
      <c r="F4" s="26"/>
      <c r="G4" s="26"/>
      <c r="H4" s="30"/>
    </row>
    <row r="5" spans="1:8" ht="14.1" customHeight="1">
      <c r="B5" s="11">
        <f>IF(AND(YEAR(MarSun1+7)=CalendarYear,MONTH(MarSun1+7)=3),MarSun1+7, "")</f>
        <v>43163</v>
      </c>
      <c r="C5" s="5">
        <f>IF(AND(YEAR(MarSun1+8)=CalendarYear,MONTH(MarSun1+8)=3),MarSun1+8, "")</f>
        <v>43164</v>
      </c>
      <c r="D5" s="5">
        <f>IF(AND(YEAR(MarSun1+9)=CalendarYear,MONTH(MarSun1+9)=3),MarSun1+9, "")</f>
        <v>43165</v>
      </c>
      <c r="E5" s="5">
        <f>IF(AND(YEAR(MarSun1+10)=CalendarYear,MONTH(MarSun1+10)=3),MarSun1+10, "")</f>
        <v>43166</v>
      </c>
      <c r="F5" s="5">
        <f>IF(AND(YEAR(MarSun1+11)=CalendarYear,MONTH(MarSun1+11)=3),MarSun1+11, "")</f>
        <v>43167</v>
      </c>
      <c r="G5" s="5">
        <f>IF(AND(YEAR(MarSun1+12)=CalendarYear,MONTH(MarSun1+12)=3),MarSun1+12,"")</f>
        <v>43168</v>
      </c>
      <c r="H5" s="10">
        <f>IF(AND(YEAR(MarSun1+13)=CalendarYear,MONTH(MarSun1+13)=3),MarSun1+13, "")</f>
        <v>43169</v>
      </c>
    </row>
    <row r="6" spans="1:8" ht="57.95" customHeight="1">
      <c r="B6" s="29"/>
      <c r="C6" s="25"/>
      <c r="D6" s="26"/>
      <c r="E6" s="26"/>
      <c r="F6" s="26"/>
      <c r="G6" s="26"/>
      <c r="H6" s="30"/>
    </row>
    <row r="7" spans="1:8" ht="14.1" customHeight="1">
      <c r="B7" s="11">
        <f>IF(AND(YEAR(MarSun1+14)=CalendarYear,MONTH(MarSun1+14)=3),MarSun1+14, "")</f>
        <v>43170</v>
      </c>
      <c r="C7" s="5">
        <f>IF(AND(YEAR(MarSun1+15)=CalendarYear,MONTH(MarSun1+15)=3),MarSun1+15, "")</f>
        <v>43171</v>
      </c>
      <c r="D7" s="5">
        <f>IF(AND(YEAR(MarSun1+16)=CalendarYear,MONTH(MarSun1+16)=3),MarSun1+16, "")</f>
        <v>43172</v>
      </c>
      <c r="E7" s="5">
        <f>IF(AND(YEAR(MarSun1+17)=CalendarYear,MONTH(MarSun1+17)=3),MarSun1+17, "")</f>
        <v>43173</v>
      </c>
      <c r="F7" s="5">
        <f>IF(AND(YEAR(MarSun1+18)=CalendarYear,MONTH(MarSun1+18)=3),MarSun1+18, "")</f>
        <v>43174</v>
      </c>
      <c r="G7" s="5">
        <f>IF(AND(YEAR(MarSun1+19)=CalendarYear,MONTH(MarSun1+19)=3),MarSun1+19, "")</f>
        <v>43175</v>
      </c>
      <c r="H7" s="10">
        <f>IF(AND(YEAR(MarSun1+20)=CalendarYear,MONTH(MarSun1+20)=3),MarSun1+20, "")</f>
        <v>43176</v>
      </c>
    </row>
    <row r="8" spans="1:8" ht="57.95" customHeight="1">
      <c r="B8" s="29"/>
      <c r="C8" s="25"/>
      <c r="D8" s="26"/>
      <c r="E8" s="26"/>
      <c r="F8" s="26"/>
      <c r="G8" s="26"/>
      <c r="H8" s="30"/>
    </row>
    <row r="9" spans="1:8" ht="14.1" customHeight="1">
      <c r="B9" s="12">
        <f>IF(AND(YEAR(MarSun1+21)=CalendarYear,MONTH(MarSun1+21)=3),MarSun1+21, "")</f>
        <v>43177</v>
      </c>
      <c r="C9" s="6">
        <f>IF(AND(YEAR(MarSun1+22)=CalendarYear,MONTH(MarSun1+22)=3),MarSun1+22, "")</f>
        <v>43178</v>
      </c>
      <c r="D9" s="6">
        <f>IF(AND(YEAR(MarSun1+23)=CalendarYear,MONTH(MarSun1+23)=3),MarSun1+23, "")</f>
        <v>43179</v>
      </c>
      <c r="E9" s="6">
        <f>IF(AND(YEAR(MarSun1+24)=CalendarYear,MONTH(MarSun1+24)=3),MarSun1+24, "")</f>
        <v>43180</v>
      </c>
      <c r="F9" s="6">
        <f>IF(AND(YEAR(MarSun1+25)=CalendarYear,MONTH(MarSun1+25)=3),MarSun1+25, "")</f>
        <v>43181</v>
      </c>
      <c r="G9" s="6">
        <f>IF(AND(YEAR(MarSun1+26)=CalendarYear,MONTH(MarSun1+26)=3),MarSun1+26, "")</f>
        <v>43182</v>
      </c>
      <c r="H9" s="13">
        <f>IF(AND(YEAR(MarSun1+27)=CalendarYear,MONTH(MarSun1+27)=3),MarSun1+27, "")</f>
        <v>43183</v>
      </c>
    </row>
    <row r="10" spans="1:8" ht="57.95" customHeight="1">
      <c r="B10" s="29"/>
      <c r="C10" s="25"/>
      <c r="D10" s="26"/>
      <c r="E10" s="26"/>
      <c r="F10" s="26"/>
      <c r="G10" s="26"/>
      <c r="H10" s="30"/>
    </row>
    <row r="11" spans="1:8" ht="14.1" customHeight="1">
      <c r="B11" s="12">
        <f>IF(AND(YEAR(MarSun1+28)=CalendarYear,MONTH(MarSun1+28)=3),MarSun1+28, "")</f>
        <v>43184</v>
      </c>
      <c r="C11" s="6">
        <f>IF(AND(YEAR(MarSun1+29)=CalendarYear,MONTH(MarSun1+29)=3),MarSun1+29, "")</f>
        <v>43185</v>
      </c>
      <c r="D11" s="6">
        <f>IF(AND(YEAR(MarSun1+30)=CalendarYear,MONTH(MarSun1+30)=3),MarSun1+30, "")</f>
        <v>43186</v>
      </c>
      <c r="E11" s="6">
        <f>IF(AND(YEAR(MarSun1+31)=CalendarYear,MONTH(MarSun1+31)=3),MarSun1+31, "")</f>
        <v>43187</v>
      </c>
      <c r="F11" s="6">
        <f>IF(AND(YEAR(MarSun1+32)=CalendarYear,MONTH(MarSun1+32)=3),MarSun1+32, "")</f>
        <v>43188</v>
      </c>
      <c r="G11" s="6">
        <f>IF(AND(YEAR(MarSun1+33)=CalendarYear,MONTH(MarSun1+33)=3),MarSun1+33, "")</f>
        <v>43189</v>
      </c>
      <c r="H11" s="13">
        <f>IF(AND(YEAR(MarSun1+34)=CalendarYear,MONTH(MarSun1+34)=3),MarSun1+34, "")</f>
        <v>43190</v>
      </c>
    </row>
    <row r="12" spans="1:8" ht="57.95" customHeight="1">
      <c r="B12" s="29"/>
      <c r="C12" s="25"/>
      <c r="D12" s="26"/>
      <c r="E12" s="26"/>
      <c r="F12" s="25"/>
      <c r="G12" s="25"/>
      <c r="H12" s="30"/>
    </row>
    <row r="13" spans="1:8" ht="14.1" customHeight="1">
      <c r="B13" s="12" t="str">
        <f>IF(AND(YEAR(MarSun1+35)=CalendarYear,MONTH(MarSun1+35)=3),MarSun1+35, "")</f>
        <v/>
      </c>
      <c r="C13" s="6" t="str">
        <f>IF(AND(YEAR(MarSun1+36)=CalendarYear,MONTH(MarSun1+36)=3),MarSun1+36, "")</f>
        <v/>
      </c>
      <c r="D13" s="65" t="s">
        <v>8</v>
      </c>
      <c r="E13" s="65"/>
      <c r="F13" s="65"/>
      <c r="G13" s="65"/>
      <c r="H13" s="66"/>
    </row>
    <row r="14" spans="1:8" ht="57.95" customHeight="1" thickBot="1">
      <c r="B14" s="32"/>
      <c r="C14" s="14"/>
      <c r="D14" s="62"/>
      <c r="E14" s="63"/>
      <c r="F14" s="63"/>
      <c r="G14" s="63"/>
      <c r="H14" s="64"/>
    </row>
  </sheetData>
  <mergeCells count="3">
    <mergeCell ref="B1:H1"/>
    <mergeCell ref="D14:H14"/>
    <mergeCell ref="D13:H13"/>
  </mergeCells>
  <phoneticPr fontId="1" type="noConversion"/>
  <printOptions horizontalCentered="1"/>
  <pageMargins left="0.5" right="0.5" top="0.75" bottom="0.75" header="0.5" footer="0.5"/>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showGridLines="0" workbookViewId="0"/>
  </sheetViews>
  <sheetFormatPr baseColWidth="10" defaultColWidth="8.75" defaultRowHeight="14.25"/>
  <cols>
    <col min="1" max="1" width="2.375" style="1" customWidth="1"/>
    <col min="2" max="8" width="17.625" style="4" customWidth="1"/>
    <col min="9" max="16384" width="8.75" style="4"/>
  </cols>
  <sheetData>
    <row r="1" spans="1:8" s="1" customFormat="1" ht="59.25" customHeight="1" thickBot="1">
      <c r="B1" s="61">
        <f>DATE(CalendarYear,4,1)</f>
        <v>43191</v>
      </c>
      <c r="C1" s="61"/>
      <c r="D1" s="61"/>
      <c r="E1" s="61"/>
      <c r="F1" s="61"/>
      <c r="G1" s="61"/>
      <c r="H1" s="61"/>
    </row>
    <row r="2" spans="1:8" s="3" customFormat="1" ht="21.75" customHeight="1">
      <c r="A2" s="2"/>
      <c r="B2" s="18" t="s">
        <v>0</v>
      </c>
      <c r="C2" s="19" t="s">
        <v>1</v>
      </c>
      <c r="D2" s="19" t="s">
        <v>2</v>
      </c>
      <c r="E2" s="19" t="s">
        <v>3</v>
      </c>
      <c r="F2" s="19" t="s">
        <v>4</v>
      </c>
      <c r="G2" s="19" t="s">
        <v>5</v>
      </c>
      <c r="H2" s="20" t="s">
        <v>6</v>
      </c>
    </row>
    <row r="3" spans="1:8" ht="14.1" customHeight="1">
      <c r="B3" s="9">
        <f>IF(AND(YEAR(AprSun1)=CalendarYear,MONTH(AprSun1)=4),AprSun1, "")</f>
        <v>43191</v>
      </c>
      <c r="C3" s="5">
        <f>IF(AND(YEAR(AprSun1+1)=CalendarYear,MONTH(AprSun1+1)=4),AprSun1+1, "")</f>
        <v>43192</v>
      </c>
      <c r="D3" s="5">
        <f>IF(AND(YEAR(AprSun1+2)=CalendarYear,MONTH(AprSun1+2)=4),AprSun1+2, "")</f>
        <v>43193</v>
      </c>
      <c r="E3" s="5">
        <f>IF(AND(YEAR(AprSun1+3)=CalendarYear,MONTH(AprSun1+3)=4),AprSun1+3, "")</f>
        <v>43194</v>
      </c>
      <c r="F3" s="5">
        <f>IF(AND(YEAR(AprSun1+4)=CalendarYear,MONTH(AprSun1+4)=4),AprSun1+4, "")</f>
        <v>43195</v>
      </c>
      <c r="G3" s="5">
        <f>IF(AND(YEAR(AprSun1+5)=CalendarYear,MONTH(AprSun1+5)=4),AprSun1+5, "")</f>
        <v>43196</v>
      </c>
      <c r="H3" s="10">
        <f>IF(AND(YEAR(AprSun1+6)=CalendarYear,MONTH(AprSun1+6)=4),AprSun1+6, "")</f>
        <v>43197</v>
      </c>
    </row>
    <row r="4" spans="1:8" ht="57.95" customHeight="1">
      <c r="B4" s="29"/>
      <c r="C4" s="25"/>
      <c r="D4" s="26"/>
      <c r="E4" s="26"/>
      <c r="F4" s="26"/>
      <c r="G4" s="26"/>
      <c r="H4" s="30"/>
    </row>
    <row r="5" spans="1:8" ht="14.1" customHeight="1">
      <c r="B5" s="11">
        <f>IF(AND(YEAR(AprSun1+7)=CalendarYear,MONTH(AprSun1+7)=4),AprSun1+7, "")</f>
        <v>43198</v>
      </c>
      <c r="C5" s="5">
        <f>IF(AND(YEAR(AprSun1+8)=CalendarYear,MONTH(AprSun1+8)=4),AprSun1+8, "")</f>
        <v>43199</v>
      </c>
      <c r="D5" s="5">
        <f>IF(AND(YEAR(AprSun1+9)=CalendarYear,MONTH(AprSun1+9)=4),AprSun1+9, "")</f>
        <v>43200</v>
      </c>
      <c r="E5" s="5">
        <f>IF(AND(YEAR(AprSun1+10)=CalendarYear,MONTH(AprSun1+10)=4),AprSun1+10, "")</f>
        <v>43201</v>
      </c>
      <c r="F5" s="5">
        <f>IF(AND(YEAR(AprSun1+11)=CalendarYear,MONTH(AprSun1+11)=4),AprSun1+11, "")</f>
        <v>43202</v>
      </c>
      <c r="G5" s="5">
        <f>IF(AND(YEAR(AprSun1+12)=CalendarYear,MONTH(AprSun1+12)=4),AprSun1+12,"")</f>
        <v>43203</v>
      </c>
      <c r="H5" s="10">
        <f>IF(AND(YEAR(AprSun1+13)=CalendarYear,MONTH(AprSun1+13)=4),AprSun1+13, "")</f>
        <v>43204</v>
      </c>
    </row>
    <row r="6" spans="1:8" ht="57.95" customHeight="1">
      <c r="B6" s="29"/>
      <c r="C6" s="25"/>
      <c r="D6" s="26"/>
      <c r="E6" s="26"/>
      <c r="F6" s="26"/>
      <c r="G6" s="26"/>
      <c r="H6" s="30"/>
    </row>
    <row r="7" spans="1:8" ht="14.1" customHeight="1">
      <c r="B7" s="11">
        <f>IF(AND(YEAR(AprSun1+14)=CalendarYear,MONTH(AprSun1+14)=4),AprSun1+14, "")</f>
        <v>43205</v>
      </c>
      <c r="C7" s="5">
        <f>IF(AND(YEAR(AprSun1+15)=CalendarYear,MONTH(AprSun1+15)=4),AprSun1+15, "")</f>
        <v>43206</v>
      </c>
      <c r="D7" s="5">
        <f>IF(AND(YEAR(AprSun1+16)=CalendarYear,MONTH(AprSun1+16)=4),AprSun1+16, "")</f>
        <v>43207</v>
      </c>
      <c r="E7" s="5">
        <f>IF(AND(YEAR(AprSun1+17)=CalendarYear,MONTH(AprSun1+17)=4),AprSun1+17, "")</f>
        <v>43208</v>
      </c>
      <c r="F7" s="5">
        <f>IF(AND(YEAR(AprSun1+18)=CalendarYear,MONTH(AprSun1+18)=4),AprSun1+18, "")</f>
        <v>43209</v>
      </c>
      <c r="G7" s="5">
        <f>IF(AND(YEAR(AprSun1+19)=CalendarYear,MONTH(AprSun1+19)=4),AprSun1+19, "")</f>
        <v>43210</v>
      </c>
      <c r="H7" s="10">
        <f>IF(AND(YEAR(AprSun1+20)=CalendarYear,MONTH(AprSun1+20)=4),AprSun1+20, "")</f>
        <v>43211</v>
      </c>
    </row>
    <row r="8" spans="1:8" ht="57.95" customHeight="1">
      <c r="B8" s="29"/>
      <c r="C8" s="25"/>
      <c r="D8" s="26"/>
      <c r="E8" s="26"/>
      <c r="F8" s="26"/>
      <c r="G8" s="26"/>
      <c r="H8" s="30"/>
    </row>
    <row r="9" spans="1:8" ht="14.1" customHeight="1">
      <c r="B9" s="12">
        <f>IF(AND(YEAR(AprSun1+21)=CalendarYear,MONTH(AprSun1+21)=4),AprSun1+21, "")</f>
        <v>43212</v>
      </c>
      <c r="C9" s="6">
        <f>IF(AND(YEAR(AprSun1+22)=CalendarYear,MONTH(AprSun1+22)=4),AprSun1+22, "")</f>
        <v>43213</v>
      </c>
      <c r="D9" s="6">
        <f>IF(AND(YEAR(AprSun1+23)=CalendarYear,MONTH(AprSun1+23)=4),AprSun1+23, "")</f>
        <v>43214</v>
      </c>
      <c r="E9" s="6">
        <f>IF(AND(YEAR(AprSun1+24)=CalendarYear,MONTH(AprSun1+24)=4),AprSun1+24, "")</f>
        <v>43215</v>
      </c>
      <c r="F9" s="6">
        <f>IF(AND(YEAR(AprSun1+25)=CalendarYear,MONTH(AprSun1+25)=4),AprSun1+25, "")</f>
        <v>43216</v>
      </c>
      <c r="G9" s="6">
        <f>IF(AND(YEAR(AprSun1+26)=CalendarYear,MONTH(AprSun1+26)=4),AprSun1+26, "")</f>
        <v>43217</v>
      </c>
      <c r="H9" s="13">
        <f>IF(AND(YEAR(AprSun1+27)=CalendarYear,MONTH(AprSun1+27)=4),AprSun1+27, "")</f>
        <v>43218</v>
      </c>
    </row>
    <row r="10" spans="1:8" ht="57.95" customHeight="1">
      <c r="B10" s="29"/>
      <c r="C10" s="25"/>
      <c r="D10" s="26"/>
      <c r="E10" s="26"/>
      <c r="F10" s="26"/>
      <c r="G10" s="26"/>
      <c r="H10" s="30"/>
    </row>
    <row r="11" spans="1:8" ht="14.1" customHeight="1">
      <c r="B11" s="12">
        <f>IF(AND(YEAR(AprSun1+28)=CalendarYear,MONTH(AprSun1+28)=4),AprSun1+28, "")</f>
        <v>43219</v>
      </c>
      <c r="C11" s="6">
        <f>IF(AND(YEAR(AprSun1+29)=CalendarYear,MONTH(AprSun1+29)=4),AprSun1+29, "")</f>
        <v>43220</v>
      </c>
      <c r="D11" s="6" t="str">
        <f>IF(AND(YEAR(AprSun1+30)=CalendarYear,MONTH(AprSun1+30)=4),AprSun1+30, "")</f>
        <v/>
      </c>
      <c r="E11" s="6" t="str">
        <f>IF(AND(YEAR(AprSun1+31)=CalendarYear,MONTH(AprSun1+31)=4),AprSun1+31, "")</f>
        <v/>
      </c>
      <c r="F11" s="6" t="str">
        <f>IF(AND(YEAR(AprSun1+32)=CalendarYear,MONTH(AprSun1+32)=4),AprSun1+32, "")</f>
        <v/>
      </c>
      <c r="G11" s="6" t="str">
        <f>IF(AND(YEAR(AprSun1+33)=CalendarYear,MONTH(AprSun1+33)=4),AprSun1+33, "")</f>
        <v/>
      </c>
      <c r="H11" s="13" t="str">
        <f>IF(AND(YEAR(AprSun1+34)=CalendarYear,MONTH(AprSun1+34)=4),AprSun1+34, "")</f>
        <v/>
      </c>
    </row>
    <row r="12" spans="1:8" ht="57.95" customHeight="1">
      <c r="B12" s="29"/>
      <c r="C12" s="25"/>
      <c r="D12" s="26"/>
      <c r="E12" s="26"/>
      <c r="F12" s="25"/>
      <c r="G12" s="25"/>
      <c r="H12" s="30"/>
    </row>
    <row r="13" spans="1:8" ht="14.1" customHeight="1">
      <c r="B13" s="12" t="str">
        <f>IF(AND(YEAR(AprSun1+35)=CalendarYear,MONTH(AprSun1+35)=4),AprSun1+35, "")</f>
        <v/>
      </c>
      <c r="C13" s="65" t="s">
        <v>9</v>
      </c>
      <c r="D13" s="65"/>
      <c r="E13" s="65"/>
      <c r="F13" s="65"/>
      <c r="G13" s="65"/>
      <c r="H13" s="66"/>
    </row>
    <row r="14" spans="1:8" ht="57.95" customHeight="1" thickBot="1">
      <c r="B14" s="31"/>
      <c r="C14" s="62"/>
      <c r="D14" s="63"/>
      <c r="E14" s="63"/>
      <c r="F14" s="63"/>
      <c r="G14" s="63"/>
      <c r="H14" s="64"/>
    </row>
  </sheetData>
  <mergeCells count="3">
    <mergeCell ref="B1:H1"/>
    <mergeCell ref="C13:H13"/>
    <mergeCell ref="C14:H14"/>
  </mergeCells>
  <phoneticPr fontId="1" type="noConversion"/>
  <printOptions horizontalCentered="1"/>
  <pageMargins left="0.5" right="0.5" top="0.75" bottom="0.75" header="0.5" footer="0.5"/>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showGridLines="0" workbookViewId="0"/>
  </sheetViews>
  <sheetFormatPr baseColWidth="10" defaultColWidth="8.75" defaultRowHeight="14.25"/>
  <cols>
    <col min="1" max="1" width="2.375" style="1" customWidth="1"/>
    <col min="2" max="8" width="17.625" style="4" customWidth="1"/>
    <col min="9" max="16384" width="8.75" style="4"/>
  </cols>
  <sheetData>
    <row r="1" spans="1:8" s="1" customFormat="1" ht="59.25" customHeight="1" thickBot="1">
      <c r="B1" s="61">
        <f>DATE(CalendarYear,5,1)</f>
        <v>43221</v>
      </c>
      <c r="C1" s="61"/>
      <c r="D1" s="61"/>
      <c r="E1" s="61"/>
      <c r="F1" s="61"/>
      <c r="G1" s="61"/>
      <c r="H1" s="61"/>
    </row>
    <row r="2" spans="1:8" s="3" customFormat="1" ht="21.75" customHeight="1">
      <c r="A2" s="2"/>
      <c r="B2" s="18" t="s">
        <v>0</v>
      </c>
      <c r="C2" s="19" t="s">
        <v>1</v>
      </c>
      <c r="D2" s="19" t="s">
        <v>2</v>
      </c>
      <c r="E2" s="19" t="s">
        <v>3</v>
      </c>
      <c r="F2" s="19" t="s">
        <v>4</v>
      </c>
      <c r="G2" s="19" t="s">
        <v>5</v>
      </c>
      <c r="H2" s="20" t="s">
        <v>6</v>
      </c>
    </row>
    <row r="3" spans="1:8" ht="14.1" customHeight="1">
      <c r="B3" s="9" t="str">
        <f>IF(AND(YEAR(MaySun1)=CalendarYear,MONTH(MaySun1)=5),MaySun1, "")</f>
        <v/>
      </c>
      <c r="C3" s="5" t="str">
        <f>IF(AND(YEAR(MaySun1+1)=CalendarYear,MONTH(MaySun1+1)=5),MaySun1+1, "")</f>
        <v/>
      </c>
      <c r="D3" s="5">
        <f>IF(AND(YEAR(MaySun1+2)=CalendarYear,MONTH(MaySun1+2)=5),MaySun1+2, "")</f>
        <v>43221</v>
      </c>
      <c r="E3" s="5">
        <f>IF(AND(YEAR(MaySun1+3)=CalendarYear,MONTH(MaySun1+3)=5),MaySun1+3, "")</f>
        <v>43222</v>
      </c>
      <c r="F3" s="5">
        <f>IF(AND(YEAR(MaySun1+4)=CalendarYear,MONTH(MaySun1+4)=5),MaySun1+4, "")</f>
        <v>43223</v>
      </c>
      <c r="G3" s="5">
        <f>IF(AND(YEAR(MaySun1+5)=CalendarYear,MONTH(MaySun1+5)=5),MaySun1+5, "")</f>
        <v>43224</v>
      </c>
      <c r="H3" s="10">
        <f>IF(AND(YEAR(MaySun1+6)=CalendarYear,MONTH(MaySun1+6)=5),MaySun1+6, "")</f>
        <v>43225</v>
      </c>
    </row>
    <row r="4" spans="1:8" ht="57.95" customHeight="1">
      <c r="B4" s="29"/>
      <c r="C4" s="25"/>
      <c r="D4" s="26"/>
      <c r="E4" s="26"/>
      <c r="F4" s="26"/>
      <c r="G4" s="26"/>
      <c r="H4" s="30"/>
    </row>
    <row r="5" spans="1:8" ht="14.1" customHeight="1">
      <c r="B5" s="11">
        <f>IF(AND(YEAR(MaySun1+7)=CalendarYear,MONTH(MaySun1+7)=5),MaySun1+7, "")</f>
        <v>43226</v>
      </c>
      <c r="C5" s="5">
        <f>IF(AND(YEAR(MaySun1+8)=CalendarYear,MONTH(MaySun1+8)=5),MaySun1+8, "")</f>
        <v>43227</v>
      </c>
      <c r="D5" s="5">
        <f>IF(AND(YEAR(MaySun1+9)=CalendarYear,MONTH(MaySun1+9)=5),MaySun1+9, "")</f>
        <v>43228</v>
      </c>
      <c r="E5" s="5">
        <f>IF(AND(YEAR(MaySun1+10)=CalendarYear,MONTH(MaySun1+10)=5),MaySun1+10, "")</f>
        <v>43229</v>
      </c>
      <c r="F5" s="5">
        <f>IF(AND(YEAR(MaySun1+11)=CalendarYear,MONTH(MaySun1+11)=5),MaySun1+11, "")</f>
        <v>43230</v>
      </c>
      <c r="G5" s="5">
        <f>IF(AND(YEAR(MaySun1+12)=CalendarYear,MONTH(MaySun1+12)=5),MaySun1+12,"")</f>
        <v>43231</v>
      </c>
      <c r="H5" s="10">
        <f>IF(AND(YEAR(MaySun1+13)=CalendarYear,MONTH(MaySun1+13)=5),MaySun1+13, "")</f>
        <v>43232</v>
      </c>
    </row>
    <row r="6" spans="1:8" ht="57.95" customHeight="1">
      <c r="B6" s="29"/>
      <c r="C6" s="25"/>
      <c r="D6" s="26"/>
      <c r="E6" s="26"/>
      <c r="F6" s="26"/>
      <c r="G6" s="26"/>
      <c r="H6" s="30"/>
    </row>
    <row r="7" spans="1:8" ht="14.1" customHeight="1">
      <c r="B7" s="11">
        <f>IF(AND(YEAR(MaySun1+14)=CalendarYear,MONTH(MaySun1+14)=5),MaySun1+14, "")</f>
        <v>43233</v>
      </c>
      <c r="C7" s="5">
        <f>IF(AND(YEAR(MaySun1+15)=CalendarYear,MONTH(MaySun1+15)=5),MaySun1+15, "")</f>
        <v>43234</v>
      </c>
      <c r="D7" s="5">
        <f>IF(AND(YEAR(MaySun1+16)=CalendarYear,MONTH(MaySun1+16)=5),MaySun1+16, "")</f>
        <v>43235</v>
      </c>
      <c r="E7" s="5">
        <f>IF(AND(YEAR(MaySun1+17)=CalendarYear,MONTH(MaySun1+17)=5),MaySun1+17, "")</f>
        <v>43236</v>
      </c>
      <c r="F7" s="5">
        <f>IF(AND(YEAR(MaySun1+18)=CalendarYear,MONTH(MaySun1+18)=5),MaySun1+18, "")</f>
        <v>43237</v>
      </c>
      <c r="G7" s="5">
        <f>IF(AND(YEAR(MaySun1+19)=CalendarYear,MONTH(MaySun1+19)=5),MaySun1+19, "")</f>
        <v>43238</v>
      </c>
      <c r="H7" s="10">
        <f>IF(AND(YEAR(MaySun1+20)=CalendarYear,MONTH(MaySun1+20)=5),MaySun1+20, "")</f>
        <v>43239</v>
      </c>
    </row>
    <row r="8" spans="1:8" ht="57.95" customHeight="1">
      <c r="B8" s="29"/>
      <c r="C8" s="25"/>
      <c r="D8" s="26"/>
      <c r="E8" s="26"/>
      <c r="F8" s="26"/>
      <c r="G8" s="26"/>
      <c r="H8" s="30"/>
    </row>
    <row r="9" spans="1:8" ht="14.1" customHeight="1">
      <c r="B9" s="12">
        <f>IF(AND(YEAR(MaySun1+21)=CalendarYear,MONTH(MaySun1+21)=5),MaySun1+21, "")</f>
        <v>43240</v>
      </c>
      <c r="C9" s="6">
        <f>IF(AND(YEAR(MaySun1+22)=CalendarYear,MONTH(MaySun1+22)=5),MaySun1+22, "")</f>
        <v>43241</v>
      </c>
      <c r="D9" s="6">
        <f>IF(AND(YEAR(MaySun1+23)=CalendarYear,MONTH(MaySun1+23)=5),MaySun1+23, "")</f>
        <v>43242</v>
      </c>
      <c r="E9" s="6">
        <f>IF(AND(YEAR(MaySun1+24)=CalendarYear,MONTH(MaySun1+24)=5),MaySun1+24, "")</f>
        <v>43243</v>
      </c>
      <c r="F9" s="6">
        <f>IF(AND(YEAR(MaySun1+25)=CalendarYear,MONTH(MaySun1+25)=5),MaySun1+25, "")</f>
        <v>43244</v>
      </c>
      <c r="G9" s="6">
        <f>IF(AND(YEAR(MaySun1+26)=CalendarYear,MONTH(MaySun1+26)=5),MaySun1+26, "")</f>
        <v>43245</v>
      </c>
      <c r="H9" s="13">
        <f>IF(AND(YEAR(MaySun1+27)=CalendarYear,MONTH(MaySun1+27)=5),MaySun1+27, "")</f>
        <v>43246</v>
      </c>
    </row>
    <row r="10" spans="1:8" ht="57.95" customHeight="1">
      <c r="B10" s="33"/>
      <c r="C10" s="25"/>
      <c r="D10" s="26"/>
      <c r="E10" s="26"/>
      <c r="F10" s="26"/>
      <c r="G10" s="26"/>
      <c r="H10" s="30"/>
    </row>
    <row r="11" spans="1:8" ht="14.1" customHeight="1">
      <c r="B11" s="12">
        <f>IF(AND(YEAR(MaySun1+28)=CalendarYear,MONTH(MaySun1+28)=5),MaySun1+28, "")</f>
        <v>43247</v>
      </c>
      <c r="C11" s="6">
        <f>IF(AND(YEAR(MaySun1+29)=CalendarYear,MONTH(MaySun1+29)=5),MaySun1+29, "")</f>
        <v>43248</v>
      </c>
      <c r="D11" s="6">
        <f>IF(AND(YEAR(MaySun1+30)=CalendarYear,MONTH(MaySun1+30)=5),MaySun1+30, "")</f>
        <v>43249</v>
      </c>
      <c r="E11" s="6">
        <f>IF(AND(YEAR(MaySun1+31)=CalendarYear,MONTH(MaySun1+31)=5),MaySun1+31, "")</f>
        <v>43250</v>
      </c>
      <c r="F11" s="6">
        <f>IF(AND(YEAR(MaySun1+32)=CalendarYear,MONTH(MaySun1+32)=5),MaySun1+32, "")</f>
        <v>43251</v>
      </c>
      <c r="G11" s="6" t="str">
        <f>IF(AND(YEAR(MaySun1+33)=CalendarYear,MONTH(MaySun1+33)=5),MaySun1+33, "")</f>
        <v/>
      </c>
      <c r="H11" s="13" t="str">
        <f>IF(AND(YEAR(MaySun1+34)=CalendarYear,MONTH(MaySun1+34)=5),MaySun1+34, "")</f>
        <v/>
      </c>
    </row>
    <row r="12" spans="1:8" ht="57.95" customHeight="1">
      <c r="B12" s="29"/>
      <c r="C12" s="25"/>
      <c r="D12" s="26"/>
      <c r="E12" s="26"/>
      <c r="F12" s="25"/>
      <c r="G12" s="25"/>
      <c r="H12" s="30"/>
    </row>
    <row r="13" spans="1:8" ht="14.1" customHeight="1">
      <c r="B13" s="28" t="str">
        <f>IF(AND(YEAR(MaySun1+35)=CalendarYear,MONTH(MaySun1+35)=5),MaySun1+35, "")</f>
        <v/>
      </c>
      <c r="C13" s="24" t="str">
        <f>IF(AND(YEAR(MaySun1+36)=CalendarYear,MONTH(MaySun1+36)=5),MaySun1+36, "")</f>
        <v/>
      </c>
      <c r="D13" s="65" t="s">
        <v>8</v>
      </c>
      <c r="E13" s="65"/>
      <c r="F13" s="65"/>
      <c r="G13" s="65"/>
      <c r="H13" s="66"/>
    </row>
    <row r="14" spans="1:8" ht="57.95" customHeight="1" thickBot="1">
      <c r="B14" s="31"/>
      <c r="C14" s="27"/>
      <c r="D14" s="62"/>
      <c r="E14" s="63"/>
      <c r="F14" s="63"/>
      <c r="G14" s="63"/>
      <c r="H14" s="64"/>
    </row>
  </sheetData>
  <mergeCells count="3">
    <mergeCell ref="B1:H1"/>
    <mergeCell ref="D13:H13"/>
    <mergeCell ref="D14:H14"/>
  </mergeCells>
  <phoneticPr fontId="1" type="noConversion"/>
  <printOptions horizontalCentered="1"/>
  <pageMargins left="0.5" right="0.5" top="0.75" bottom="0.75" header="0.5" footer="0.5"/>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showGridLines="0" workbookViewId="0"/>
  </sheetViews>
  <sheetFormatPr baseColWidth="10" defaultColWidth="8.75" defaultRowHeight="14.25"/>
  <cols>
    <col min="1" max="1" width="2.375" style="1" customWidth="1"/>
    <col min="2" max="8" width="17.625" style="4" customWidth="1"/>
    <col min="9" max="16384" width="8.75" style="4"/>
  </cols>
  <sheetData>
    <row r="1" spans="1:8" s="1" customFormat="1" ht="59.25" customHeight="1" thickBot="1">
      <c r="B1" s="61">
        <f>DATE(CalendarYear,6,1)</f>
        <v>43252</v>
      </c>
      <c r="C1" s="61"/>
      <c r="D1" s="61"/>
      <c r="E1" s="61"/>
      <c r="F1" s="61"/>
      <c r="G1" s="61"/>
      <c r="H1" s="61"/>
    </row>
    <row r="2" spans="1:8" s="3" customFormat="1" ht="21.75" customHeight="1">
      <c r="A2" s="2"/>
      <c r="B2" s="15" t="s">
        <v>0</v>
      </c>
      <c r="C2" s="16" t="s">
        <v>1</v>
      </c>
      <c r="D2" s="16" t="s">
        <v>2</v>
      </c>
      <c r="E2" s="16" t="s">
        <v>3</v>
      </c>
      <c r="F2" s="16" t="s">
        <v>4</v>
      </c>
      <c r="G2" s="16" t="s">
        <v>5</v>
      </c>
      <c r="H2" s="17" t="s">
        <v>6</v>
      </c>
    </row>
    <row r="3" spans="1:8" ht="14.1" customHeight="1">
      <c r="B3" s="9" t="str">
        <f>IF(AND(YEAR(JunSun1)=CalendarYear,MONTH(JunSun1)=6),JunSun1, "")</f>
        <v/>
      </c>
      <c r="C3" s="5" t="str">
        <f>IF(AND(YEAR(JunSun1+1)=CalendarYear,MONTH(JunSun1+1)=6),JunSun1+1, "")</f>
        <v/>
      </c>
      <c r="D3" s="5" t="str">
        <f>IF(AND(YEAR(JunSun1+2)=CalendarYear,MONTH(JunSun1+2)=6),JunSun1+2, "")</f>
        <v/>
      </c>
      <c r="E3" s="5" t="str">
        <f>IF(AND(YEAR(JunSun1+3)=CalendarYear,MONTH(JunSun1+3)=6),JunSun1+3, "")</f>
        <v/>
      </c>
      <c r="F3" s="5" t="str">
        <f>IF(AND(YEAR(JunSun1+4)=CalendarYear,MONTH(JunSun1+4)=6),JunSun1+4, "")</f>
        <v/>
      </c>
      <c r="G3" s="5">
        <f>IF(AND(YEAR(JunSun1+5)=CalendarYear,MONTH(JunSun1+5)=6),JunSun1+5, "")</f>
        <v>43252</v>
      </c>
      <c r="H3" s="10">
        <f>IF(AND(YEAR(JunSun1+6)=CalendarYear,MONTH(JunSun1+6)=6),JunSun1+6, "")</f>
        <v>43253</v>
      </c>
    </row>
    <row r="4" spans="1:8" ht="57.95" customHeight="1">
      <c r="B4" s="29"/>
      <c r="C4" s="25"/>
      <c r="D4" s="26"/>
      <c r="E4" s="26"/>
      <c r="F4" s="26"/>
      <c r="G4" s="26"/>
      <c r="H4" s="30"/>
    </row>
    <row r="5" spans="1:8" ht="14.1" customHeight="1">
      <c r="B5" s="11">
        <f>IF(AND(YEAR(JunSun1+7)=CalendarYear,MONTH(JunSun1+7)=6),JunSun1+7, "")</f>
        <v>43254</v>
      </c>
      <c r="C5" s="5">
        <f>IF(AND(YEAR(JunSun1+8)=CalendarYear,MONTH(JunSun1+8)=6),JunSun1+8, "")</f>
        <v>43255</v>
      </c>
      <c r="D5" s="5">
        <f>IF(AND(YEAR(JunSun1+9)=CalendarYear,MONTH(JunSun1+9)=6),JunSun1+9, "")</f>
        <v>43256</v>
      </c>
      <c r="E5" s="5">
        <f>IF(AND(YEAR(JunSun1+10)=CalendarYear,MONTH(JunSun1+10)=6),JunSun1+10, "")</f>
        <v>43257</v>
      </c>
      <c r="F5" s="5">
        <f>IF(AND(YEAR(JunSun1+11)=CalendarYear,MONTH(JunSun1+11)=6),JunSun1+11, "")</f>
        <v>43258</v>
      </c>
      <c r="G5" s="5">
        <f>IF(AND(YEAR(JunSun1+12)=CalendarYear,MONTH(JunSun1+12)=6),JunSun1+12,"")</f>
        <v>43259</v>
      </c>
      <c r="H5" s="10">
        <f>IF(AND(YEAR(JunSun1+13)=CalendarYear,MONTH(JunSun1+13)=6),JunSun1+13, "")</f>
        <v>43260</v>
      </c>
    </row>
    <row r="6" spans="1:8" ht="57.95" customHeight="1">
      <c r="B6" s="29"/>
      <c r="C6" s="25"/>
      <c r="D6" s="26"/>
      <c r="E6" s="26"/>
      <c r="F6" s="26"/>
      <c r="G6" s="26"/>
      <c r="H6" s="30"/>
    </row>
    <row r="7" spans="1:8" ht="14.1" customHeight="1">
      <c r="B7" s="11">
        <f>IF(AND(YEAR(JunSun1+14)=CalendarYear,MONTH(JunSun1+14)=6),JunSun1+14, "")</f>
        <v>43261</v>
      </c>
      <c r="C7" s="5">
        <f>IF(AND(YEAR(JunSun1+15)=CalendarYear,MONTH(JunSun1+15)=6),JunSun1+15, "")</f>
        <v>43262</v>
      </c>
      <c r="D7" s="5">
        <f>IF(AND(YEAR(JunSun1+16)=CalendarYear,MONTH(JunSun1+16)=6),JunSun1+16, "")</f>
        <v>43263</v>
      </c>
      <c r="E7" s="5">
        <f>IF(AND(YEAR(JunSun1+17)=CalendarYear,MONTH(JunSun1+17)=6),JunSun1+17, "")</f>
        <v>43264</v>
      </c>
      <c r="F7" s="5">
        <f>IF(AND(YEAR(JunSun1+18)=CalendarYear,MONTH(JunSun1+18)=6),JunSun1+18, "")</f>
        <v>43265</v>
      </c>
      <c r="G7" s="5">
        <f>IF(AND(YEAR(JunSun1+19)=CalendarYear,MONTH(JunSun1+19)=6),JunSun1+19, "")</f>
        <v>43266</v>
      </c>
      <c r="H7" s="10">
        <f>IF(AND(YEAR(JunSun1+20)=CalendarYear,MONTH(JunSun1+20)=6),JunSun1+20, "")</f>
        <v>43267</v>
      </c>
    </row>
    <row r="8" spans="1:8" ht="57.95" customHeight="1">
      <c r="B8" s="29"/>
      <c r="C8" s="25"/>
      <c r="D8" s="26"/>
      <c r="E8" s="26"/>
      <c r="F8" s="26"/>
      <c r="G8" s="26"/>
      <c r="H8" s="30"/>
    </row>
    <row r="9" spans="1:8" ht="14.1" customHeight="1">
      <c r="B9" s="12">
        <f>IF(AND(YEAR(JunSun1+21)=CalendarYear,MONTH(JunSun1+21)=6),JunSun1+21, "")</f>
        <v>43268</v>
      </c>
      <c r="C9" s="6">
        <f>IF(AND(YEAR(JunSun1+22)=CalendarYear,MONTH(JunSun1+22)=6),JunSun1+22, "")</f>
        <v>43269</v>
      </c>
      <c r="D9" s="6">
        <f>IF(AND(YEAR(JunSun1+23)=CalendarYear,MONTH(JunSun1+23)=6),JunSun1+23, "")</f>
        <v>43270</v>
      </c>
      <c r="E9" s="6">
        <f>IF(AND(YEAR(JunSun1+24)=CalendarYear,MONTH(JunSun1+24)=6),JunSun1+24, "")</f>
        <v>43271</v>
      </c>
      <c r="F9" s="6">
        <f>IF(AND(YEAR(JunSun1+25)=CalendarYear,MONTH(JunSun1+25)=6),JunSun1+25, "")</f>
        <v>43272</v>
      </c>
      <c r="G9" s="6">
        <f>IF(AND(YEAR(JunSun1+26)=CalendarYear,MONTH(JunSun1+26)=6),JunSun1+26, "")</f>
        <v>43273</v>
      </c>
      <c r="H9" s="13">
        <f>IF(AND(YEAR(JunSun1+27)=CalendarYear,MONTH(JunSun1+27)=6),JunSun1+27, "")</f>
        <v>43274</v>
      </c>
    </row>
    <row r="10" spans="1:8" ht="57.95" customHeight="1">
      <c r="B10" s="29"/>
      <c r="C10" s="25"/>
      <c r="D10" s="26"/>
      <c r="E10" s="26"/>
      <c r="F10" s="26"/>
      <c r="G10" s="26"/>
      <c r="H10" s="30"/>
    </row>
    <row r="11" spans="1:8" ht="14.1" customHeight="1">
      <c r="B11" s="12">
        <f>IF(AND(YEAR(JunSun1+28)=CalendarYear,MONTH(JunSun1+28)=6),JunSun1+28, "")</f>
        <v>43275</v>
      </c>
      <c r="C11" s="6">
        <f>IF(AND(YEAR(JunSun1+29)=CalendarYear,MONTH(JunSun1+29)=6),JunSun1+29, "")</f>
        <v>43276</v>
      </c>
      <c r="D11" s="6">
        <f>IF(AND(YEAR(JunSun1+30)=CalendarYear,MONTH(JunSun1+30)=6),JunSun1+30, "")</f>
        <v>43277</v>
      </c>
      <c r="E11" s="6">
        <f>IF(AND(YEAR(JunSun1+31)=CalendarYear,MONTH(JunSun1+31)=6),JunSun1+31, "")</f>
        <v>43278</v>
      </c>
      <c r="F11" s="6">
        <f>IF(AND(YEAR(JunSun1+32)=CalendarYear,MONTH(JunSun1+32)=6),JunSun1+32, "")</f>
        <v>43279</v>
      </c>
      <c r="G11" s="6">
        <f>IF(AND(YEAR(JunSun1+33)=CalendarYear,MONTH(JunSun1+33)=6),JunSun1+33, "")</f>
        <v>43280</v>
      </c>
      <c r="H11" s="13">
        <f>IF(AND(YEAR(JunSun1+34)=CalendarYear,MONTH(JunSun1+34)=6),JunSun1+34, "")</f>
        <v>43281</v>
      </c>
    </row>
    <row r="12" spans="1:8" ht="57.95" customHeight="1">
      <c r="B12" s="29"/>
      <c r="C12" s="25"/>
      <c r="D12" s="26"/>
      <c r="E12" s="26"/>
      <c r="F12" s="25"/>
      <c r="G12" s="25"/>
      <c r="H12" s="30"/>
    </row>
    <row r="13" spans="1:8" ht="14.1" customHeight="1">
      <c r="B13" s="12" t="str">
        <f>IF(AND(YEAR(JunSun1+35)=CalendarYear,MONTH(JunSun1+35)=6),JunSun1+35, "")</f>
        <v/>
      </c>
      <c r="C13" s="65" t="s">
        <v>8</v>
      </c>
      <c r="D13" s="65"/>
      <c r="E13" s="65"/>
      <c r="F13" s="65"/>
      <c r="G13" s="65"/>
      <c r="H13" s="66"/>
    </row>
    <row r="14" spans="1:8" ht="57.95" customHeight="1" thickBot="1">
      <c r="B14" s="31"/>
      <c r="C14" s="62"/>
      <c r="D14" s="63"/>
      <c r="E14" s="63"/>
      <c r="F14" s="63"/>
      <c r="G14" s="63"/>
      <c r="H14" s="64"/>
    </row>
  </sheetData>
  <mergeCells count="3">
    <mergeCell ref="B1:H1"/>
    <mergeCell ref="C13:H13"/>
    <mergeCell ref="C14:H14"/>
  </mergeCells>
  <phoneticPr fontId="1" type="noConversion"/>
  <printOptions horizontalCentered="1"/>
  <pageMargins left="0.5" right="0.5" top="0.75" bottom="0.75" header="0.5" footer="0.5"/>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showGridLines="0" topLeftCell="C10" workbookViewId="0">
      <selection activeCell="F10" sqref="F10"/>
    </sheetView>
  </sheetViews>
  <sheetFormatPr baseColWidth="10" defaultColWidth="8.75" defaultRowHeight="15"/>
  <cols>
    <col min="1" max="1" width="4.375" style="51" customWidth="1"/>
    <col min="2" max="2" width="17.625" style="4" customWidth="1"/>
    <col min="3" max="3" width="40" style="4" bestFit="1" customWidth="1"/>
    <col min="4" max="4" width="36.625" style="4" customWidth="1"/>
    <col min="5" max="5" width="31.25" style="4" customWidth="1"/>
    <col min="6" max="6" width="41.375" style="4" bestFit="1" customWidth="1"/>
    <col min="7" max="7" width="47.125" style="4" customWidth="1"/>
    <col min="8" max="8" width="17.625" style="4" customWidth="1"/>
    <col min="9" max="16384" width="8.75" style="4"/>
  </cols>
  <sheetData>
    <row r="1" spans="1:8" s="1" customFormat="1" ht="59.25" customHeight="1" thickBot="1">
      <c r="A1" s="51"/>
      <c r="B1" s="61">
        <f>DATE(CalendarYear,7,1)</f>
        <v>43282</v>
      </c>
      <c r="C1" s="61"/>
      <c r="D1" s="61"/>
      <c r="E1" s="61"/>
      <c r="F1" s="61"/>
      <c r="G1" s="61"/>
      <c r="H1" s="61"/>
    </row>
    <row r="2" spans="1:8" s="3" customFormat="1" ht="21.75" customHeight="1">
      <c r="A2" s="52"/>
      <c r="B2" s="18" t="s">
        <v>0</v>
      </c>
      <c r="C2" s="19" t="s">
        <v>1</v>
      </c>
      <c r="D2" s="19" t="s">
        <v>2</v>
      </c>
      <c r="E2" s="19" t="s">
        <v>3</v>
      </c>
      <c r="F2" s="19" t="s">
        <v>4</v>
      </c>
      <c r="G2" s="19" t="s">
        <v>5</v>
      </c>
      <c r="H2" s="20" t="s">
        <v>6</v>
      </c>
    </row>
    <row r="3" spans="1:8" ht="14.1" customHeight="1">
      <c r="B3" s="9">
        <f>IF(AND(YEAR(JulSun1)=CalendarYear,MONTH(JulSun1)=7),JulSun1, "")</f>
        <v>43282</v>
      </c>
      <c r="C3" s="5">
        <f>IF(AND(YEAR(JulSun1+1)=CalendarYear,MONTH(JulSun1+1)=7),JulSun1+1, "")</f>
        <v>43283</v>
      </c>
      <c r="D3" s="5">
        <f>IF(AND(YEAR(JulSun1+2)=CalendarYear,MONTH(JulSun1+2)=7),JulSun1+2, "")</f>
        <v>43284</v>
      </c>
      <c r="E3" s="5">
        <f>IF(AND(YEAR(JulSun1+3)=CalendarYear,MONTH(JulSun1+3)=7),JulSun1+3, "")</f>
        <v>43285</v>
      </c>
      <c r="F3" s="5">
        <f>IF(AND(YEAR(JulSun1+4)=CalendarYear,MONTH(JulSun1+4)=7),JulSun1+4, "")</f>
        <v>43286</v>
      </c>
      <c r="G3" s="5">
        <f>IF(AND(YEAR(JulSun1+5)=CalendarYear,MONTH(JulSun1+5)=7),JulSun1+5, "")</f>
        <v>43287</v>
      </c>
      <c r="H3" s="10">
        <f>IF(AND(YEAR(JulSun1+6)=CalendarYear,MONTH(JulSun1+6)=7),JulSun1+6, "")</f>
        <v>43288</v>
      </c>
    </row>
    <row r="4" spans="1:8" s="36" customFormat="1" ht="117" customHeight="1">
      <c r="A4" s="53">
        <v>27</v>
      </c>
      <c r="B4" s="45"/>
      <c r="C4" s="34"/>
      <c r="D4" s="37" t="s">
        <v>12</v>
      </c>
      <c r="E4" s="37" t="s">
        <v>13</v>
      </c>
      <c r="F4" s="37" t="s">
        <v>13</v>
      </c>
      <c r="G4" s="40" t="s">
        <v>14</v>
      </c>
      <c r="H4" s="35"/>
    </row>
    <row r="5" spans="1:8" ht="14.1" customHeight="1">
      <c r="A5" s="53"/>
      <c r="B5" s="46">
        <f>IF(AND(YEAR(JulSun1+7)=CalendarYear,MONTH(JulSun1+7)=7),JulSun1+7, "")</f>
        <v>43289</v>
      </c>
      <c r="C5" s="5">
        <f>IF(AND(YEAR(JulSun1+8)=CalendarYear,MONTH(JulSun1+8)=7),JulSun1+8, "")</f>
        <v>43290</v>
      </c>
      <c r="D5" s="5">
        <f>IF(AND(YEAR(JulSun1+9)=CalendarYear,MONTH(JulSun1+9)=7),JulSun1+9, "")</f>
        <v>43291</v>
      </c>
      <c r="E5" s="5">
        <f>IF(AND(YEAR(JulSun1+10)=CalendarYear,MONTH(JulSun1+10)=7),JulSun1+10, "")</f>
        <v>43292</v>
      </c>
      <c r="F5" s="5">
        <f>IF(AND(YEAR(JulSun1+11)=CalendarYear,MONTH(JulSun1+11)=7),JulSun1+11, "")</f>
        <v>43293</v>
      </c>
      <c r="G5" s="5">
        <f>IF(AND(YEAR(JulSun1+12)=CalendarYear,MONTH(JulSun1+12)=7),JulSun1+12,"")</f>
        <v>43294</v>
      </c>
      <c r="H5" s="10">
        <f>IF(AND(YEAR(JulSun1+13)=CalendarYear,MONTH(JulSun1+13)=7),JulSun1+13, "")</f>
        <v>43295</v>
      </c>
    </row>
    <row r="6" spans="1:8" s="36" customFormat="1" ht="243">
      <c r="A6" s="53">
        <v>28</v>
      </c>
      <c r="B6" s="45"/>
      <c r="C6" s="41" t="s">
        <v>15</v>
      </c>
      <c r="D6" s="41" t="s">
        <v>16</v>
      </c>
      <c r="E6" s="44" t="s">
        <v>17</v>
      </c>
      <c r="F6" s="42" t="s">
        <v>18</v>
      </c>
      <c r="G6" s="43" t="s">
        <v>19</v>
      </c>
      <c r="H6" s="35"/>
    </row>
    <row r="7" spans="1:8" ht="14.1" customHeight="1">
      <c r="A7" s="53"/>
      <c r="B7" s="46">
        <f>IF(AND(YEAR(JulSun1+14)=CalendarYear,MONTH(JulSun1+14)=7),JulSun1+14, "")</f>
        <v>43296</v>
      </c>
      <c r="C7" s="5">
        <f>IF(AND(YEAR(JulSun1+15)=CalendarYear,MONTH(JulSun1+15)=7),JulSun1+15, "")</f>
        <v>43297</v>
      </c>
      <c r="D7" s="5">
        <f>IF(AND(YEAR(JulSun1+16)=CalendarYear,MONTH(JulSun1+16)=7),JulSun1+16, "")</f>
        <v>43298</v>
      </c>
      <c r="E7" s="5">
        <f>IF(AND(YEAR(JulSun1+17)=CalendarYear,MONTH(JulSun1+17)=7),JulSun1+17, "")</f>
        <v>43299</v>
      </c>
      <c r="F7" s="5">
        <f>IF(AND(YEAR(JulSun1+18)=CalendarYear,MONTH(JulSun1+18)=7),JulSun1+18, "")</f>
        <v>43300</v>
      </c>
      <c r="G7" s="5">
        <f>IF(AND(YEAR(JulSun1+19)=CalendarYear,MONTH(JulSun1+19)=7),JulSun1+19, "")</f>
        <v>43301</v>
      </c>
      <c r="H7" s="10">
        <f>IF(AND(YEAR(JulSun1+20)=CalendarYear,MONTH(JulSun1+20)=7),JulSun1+20, "")</f>
        <v>43302</v>
      </c>
    </row>
    <row r="8" spans="1:8" ht="148.5">
      <c r="A8" s="53">
        <v>29</v>
      </c>
      <c r="B8" s="47"/>
      <c r="C8" s="38" t="s">
        <v>20</v>
      </c>
      <c r="D8" s="39" t="s">
        <v>21</v>
      </c>
      <c r="E8" s="39" t="s">
        <v>22</v>
      </c>
      <c r="F8" s="39" t="s">
        <v>26</v>
      </c>
      <c r="G8" s="54" t="s">
        <v>24</v>
      </c>
      <c r="H8" s="30"/>
    </row>
    <row r="9" spans="1:8" ht="14.1" customHeight="1">
      <c r="A9" s="53"/>
      <c r="B9" s="48">
        <f>IF(AND(YEAR(JulSun1+21)=CalendarYear,MONTH(JulSun1+21)=7),JulSun1+21, "")</f>
        <v>43303</v>
      </c>
      <c r="C9" s="6">
        <f>IF(AND(YEAR(JulSun1+22)=CalendarYear,MONTH(JulSun1+22)=7),JulSun1+22, "")</f>
        <v>43304</v>
      </c>
      <c r="D9" s="6">
        <f>IF(AND(YEAR(JulSun1+23)=CalendarYear,MONTH(JulSun1+23)=7),JulSun1+23, "")</f>
        <v>43305</v>
      </c>
      <c r="E9" s="6">
        <f>IF(AND(YEAR(JulSun1+24)=CalendarYear,MONTH(JulSun1+24)=7),JulSun1+24, "")</f>
        <v>43306</v>
      </c>
      <c r="F9" s="6">
        <f>IF(AND(YEAR(JulSun1+25)=CalendarYear,MONTH(JulSun1+25)=7),JulSun1+25, "")</f>
        <v>43307</v>
      </c>
      <c r="G9" s="6">
        <f>IF(AND(YEAR(JulSun1+26)=CalendarYear,MONTH(JulSun1+26)=7),JulSun1+26, "")</f>
        <v>43308</v>
      </c>
      <c r="H9" s="13">
        <f>IF(AND(YEAR(JulSun1+27)=CalendarYear,MONTH(JulSun1+27)=7),JulSun1+27, "")</f>
        <v>43309</v>
      </c>
    </row>
    <row r="10" spans="1:8" ht="115.5" customHeight="1">
      <c r="A10" s="53">
        <v>30</v>
      </c>
      <c r="B10" s="47"/>
      <c r="C10" s="54" t="s">
        <v>25</v>
      </c>
      <c r="D10" s="39" t="s">
        <v>27</v>
      </c>
      <c r="E10" s="38" t="s">
        <v>29</v>
      </c>
      <c r="F10" s="55" t="s">
        <v>28</v>
      </c>
      <c r="G10" s="38" t="s">
        <v>23</v>
      </c>
      <c r="H10" s="30"/>
    </row>
    <row r="11" spans="1:8" ht="14.1" customHeight="1">
      <c r="A11" s="53"/>
      <c r="B11" s="48">
        <f>IF(AND(YEAR(JulSun1+28)=CalendarYear,MONTH(JulSun1+28)=7),JulSun1+28, "")</f>
        <v>43310</v>
      </c>
      <c r="C11" s="6">
        <f>IF(AND(YEAR(JulSun1+29)=CalendarYear,MONTH(JulSun1+29)=7),JulSun1+29, "")</f>
        <v>43311</v>
      </c>
      <c r="D11" s="6">
        <f>IF(AND(YEAR(JulSun1+30)=CalendarYear,MONTH(JulSun1+30)=7),JulSun1+30, "")</f>
        <v>43312</v>
      </c>
      <c r="E11" s="6" t="str">
        <f>IF(AND(YEAR(JulSun1+31)=CalendarYear,MONTH(JulSun1+31)=7),JulSun1+31, "")</f>
        <v/>
      </c>
      <c r="F11" s="6" t="str">
        <f>IF(AND(YEAR(JulSun1+32)=CalendarYear,MONTH(JulSun1+32)=7),JulSun1+32, "")</f>
        <v/>
      </c>
      <c r="G11" s="6" t="str">
        <f>IF(AND(YEAR(JulSun1+33)=CalendarYear,MONTH(JulSun1+33)=7),JulSun1+33, "")</f>
        <v/>
      </c>
      <c r="H11" s="13" t="str">
        <f>IF(AND(YEAR(JulSun1+34)=CalendarYear,MONTH(JulSun1+34)=7),JulSun1+34, "")</f>
        <v/>
      </c>
    </row>
    <row r="12" spans="1:8" ht="108">
      <c r="A12" s="53"/>
      <c r="B12" s="47"/>
      <c r="C12" s="39" t="s">
        <v>31</v>
      </c>
      <c r="D12" s="56" t="s">
        <v>32</v>
      </c>
      <c r="E12" s="26"/>
      <c r="F12" s="25"/>
      <c r="G12" s="25"/>
      <c r="H12" s="30"/>
    </row>
    <row r="13" spans="1:8" ht="14.1" customHeight="1">
      <c r="A13" s="53"/>
      <c r="B13" s="49" t="str">
        <f>IF(AND(YEAR(JulSun1+35)=CalendarYear,MONTH(JulSun1+35)=7),JulSun1+35, "")</f>
        <v/>
      </c>
      <c r="C13" s="24" t="str">
        <f>IF(AND(YEAR(JulSun1+36)=CalendarYear,MONTH(JulSun1+36)=7),JulSun1+36, "")</f>
        <v/>
      </c>
      <c r="D13" s="65" t="s">
        <v>8</v>
      </c>
      <c r="E13" s="65"/>
      <c r="F13" s="65"/>
      <c r="G13" s="65"/>
      <c r="H13" s="66"/>
    </row>
    <row r="14" spans="1:8" ht="57.95" customHeight="1" thickBot="1">
      <c r="A14" s="53"/>
      <c r="B14" s="50"/>
      <c r="C14" s="27"/>
      <c r="D14" s="62"/>
      <c r="E14" s="63"/>
      <c r="F14" s="63"/>
      <c r="G14" s="63"/>
      <c r="H14" s="64"/>
    </row>
  </sheetData>
  <mergeCells count="3">
    <mergeCell ref="B1:H1"/>
    <mergeCell ref="D13:H13"/>
    <mergeCell ref="D14:H14"/>
  </mergeCells>
  <phoneticPr fontId="1" type="noConversion"/>
  <printOptions horizontalCentered="1"/>
  <pageMargins left="0.5" right="0.5" top="0.75" bottom="0.75" header="0.5" footer="0.5"/>
  <pageSetup paperSize="9" scale="76" orientation="landscape" r:id="rId1"/>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showGridLines="0" topLeftCell="A9" workbookViewId="0">
      <selection activeCell="G12" sqref="G12"/>
    </sheetView>
  </sheetViews>
  <sheetFormatPr baseColWidth="10" defaultColWidth="8.75" defaultRowHeight="14.25"/>
  <cols>
    <col min="1" max="1" width="2.375" style="1" customWidth="1"/>
    <col min="2" max="2" width="17.625" style="4" customWidth="1"/>
    <col min="3" max="3" width="37" style="4" customWidth="1"/>
    <col min="4" max="4" width="30.625" style="4" customWidth="1"/>
    <col min="5" max="5" width="37.375" style="4" customWidth="1"/>
    <col min="6" max="6" width="30" style="4" customWidth="1"/>
    <col min="7" max="7" width="37" style="4" customWidth="1"/>
    <col min="8" max="8" width="17.625" style="4" customWidth="1"/>
    <col min="9" max="16384" width="8.75" style="4"/>
  </cols>
  <sheetData>
    <row r="1" spans="1:8" s="1" customFormat="1" ht="59.25" customHeight="1" thickBot="1">
      <c r="B1" s="61">
        <f>DATE(CalendarYear,8,1)</f>
        <v>43313</v>
      </c>
      <c r="C1" s="61"/>
      <c r="D1" s="61"/>
      <c r="E1" s="61"/>
      <c r="F1" s="61"/>
      <c r="G1" s="61"/>
      <c r="H1" s="61"/>
    </row>
    <row r="2" spans="1:8" s="3" customFormat="1" ht="21.75" customHeight="1">
      <c r="A2" s="2"/>
      <c r="B2" s="18">
        <v>511</v>
      </c>
      <c r="C2" s="19" t="s">
        <v>1</v>
      </c>
      <c r="D2" s="19" t="s">
        <v>2</v>
      </c>
      <c r="E2" s="19" t="s">
        <v>3</v>
      </c>
      <c r="F2" s="19" t="s">
        <v>4</v>
      </c>
      <c r="G2" s="19" t="s">
        <v>5</v>
      </c>
      <c r="H2" s="20" t="s">
        <v>6</v>
      </c>
    </row>
    <row r="3" spans="1:8" ht="14.1" customHeight="1">
      <c r="B3" s="9" t="str">
        <f>IF(AND(YEAR(AugSun1)=CalendarYear,MONTH(AugSun1)=8),AugSun1, "")</f>
        <v/>
      </c>
      <c r="C3" s="5" t="str">
        <f>IF(AND(YEAR(AugSun1+1)=CalendarYear,MONTH(AugSun1+1)=8),AugSun1+1, "")</f>
        <v/>
      </c>
      <c r="D3" s="5" t="str">
        <f>IF(AND(YEAR(AugSun1+2)=CalendarYear,MONTH(AugSun1+2)=8),AugSun1+2, "")</f>
        <v/>
      </c>
      <c r="E3" s="5">
        <f>IF(AND(YEAR(AugSun1+3)=CalendarYear,MONTH(AugSun1+3)=8),AugSun1+3, "")</f>
        <v>43313</v>
      </c>
      <c r="F3" s="5">
        <f>IF(AND(YEAR(AugSun1+4)=CalendarYear,MONTH(AugSun1+4)=8),AugSun1+4, "")</f>
        <v>43314</v>
      </c>
      <c r="G3" s="5">
        <f>IF(AND(YEAR(AugSun1+5)=CalendarYear,MONTH(AugSun1+5)=8),AugSun1+5, "")</f>
        <v>43315</v>
      </c>
      <c r="H3" s="10">
        <f>IF(AND(YEAR(AugSun1+6)=CalendarYear,MONTH(AugSun1+6)=8),AugSun1+6, "")</f>
        <v>43316</v>
      </c>
    </row>
    <row r="4" spans="1:8" ht="108">
      <c r="B4" s="29"/>
      <c r="C4" s="25"/>
      <c r="D4" s="39"/>
      <c r="E4" s="26" t="s">
        <v>30</v>
      </c>
      <c r="F4" s="39" t="s">
        <v>33</v>
      </c>
      <c r="G4" s="26" t="s">
        <v>34</v>
      </c>
      <c r="H4" s="30"/>
    </row>
    <row r="5" spans="1:8" ht="14.1" customHeight="1">
      <c r="B5" s="11">
        <f>IF(AND(YEAR(AugSun1+7)=CalendarYear,MONTH(AugSun1+7)=8),AugSun1+7, "")</f>
        <v>43317</v>
      </c>
      <c r="C5" s="5">
        <f>IF(AND(YEAR(AugSun1+8)=CalendarYear,MONTH(AugSun1+8)=8),AugSun1+8, "")</f>
        <v>43318</v>
      </c>
      <c r="D5" s="5">
        <f>IF(AND(YEAR(AugSun1+9)=CalendarYear,MONTH(AugSun1+9)=8),AugSun1+9, "")</f>
        <v>43319</v>
      </c>
      <c r="E5" s="5">
        <f>IF(AND(YEAR(AugSun1+10)=CalendarYear,MONTH(AugSun1+10)=8),AugSun1+10, "")</f>
        <v>43320</v>
      </c>
      <c r="F5" s="5">
        <f>IF(AND(YEAR(AugSun1+11)=CalendarYear,MONTH(AugSun1+11)=8),AugSun1+11, "")</f>
        <v>43321</v>
      </c>
      <c r="G5" s="5">
        <f>IF(AND(YEAR(AugSun1+12)=CalendarYear,MONTH(AugSun1+12)=8),AugSun1+12,"")</f>
        <v>43322</v>
      </c>
      <c r="H5" s="10">
        <f>IF(AND(YEAR(AugSun1+13)=CalendarYear,MONTH(AugSun1+13)=8),AugSun1+13, "")</f>
        <v>43323</v>
      </c>
    </row>
    <row r="6" spans="1:8" ht="81">
      <c r="B6" s="29"/>
      <c r="C6" s="38" t="s">
        <v>35</v>
      </c>
      <c r="D6" s="26" t="s">
        <v>37</v>
      </c>
      <c r="E6" s="39" t="s">
        <v>36</v>
      </c>
      <c r="F6" s="39" t="s">
        <v>38</v>
      </c>
      <c r="G6" s="38" t="s">
        <v>39</v>
      </c>
      <c r="H6" s="30"/>
    </row>
    <row r="7" spans="1:8" ht="14.1" customHeight="1">
      <c r="B7" s="11">
        <f>IF(AND(YEAR(AugSun1+14)=CalendarYear,MONTH(AugSun1+14)=8),AugSun1+14, "")</f>
        <v>43324</v>
      </c>
      <c r="C7" s="5">
        <f>IF(AND(YEAR(AugSun1+15)=CalendarYear,MONTH(AugSun1+15)=8),AugSun1+15, "")</f>
        <v>43325</v>
      </c>
      <c r="D7" s="5">
        <f>IF(AND(YEAR(AugSun1+16)=CalendarYear,MONTH(AugSun1+16)=8),AugSun1+16, "")</f>
        <v>43326</v>
      </c>
      <c r="E7" s="5">
        <f>IF(AND(YEAR(AugSun1+17)=CalendarYear,MONTH(AugSun1+17)=8),AugSun1+17, "")</f>
        <v>43327</v>
      </c>
      <c r="F7" s="5">
        <f>IF(AND(YEAR(AugSun1+18)=CalendarYear,MONTH(AugSun1+18)=8),AugSun1+18, "")</f>
        <v>43328</v>
      </c>
      <c r="G7" s="5">
        <f>IF(AND(YEAR(AugSun1+19)=CalendarYear,MONTH(AugSun1+19)=8),AugSun1+19, "")</f>
        <v>43329</v>
      </c>
      <c r="H7" s="10">
        <f>IF(AND(YEAR(AugSun1+20)=CalendarYear,MONTH(AugSun1+20)=8),AugSun1+20, "")</f>
        <v>43330</v>
      </c>
    </row>
    <row r="8" spans="1:8" ht="81">
      <c r="B8" s="29"/>
      <c r="C8" s="38" t="s">
        <v>40</v>
      </c>
      <c r="D8" s="39" t="s">
        <v>42</v>
      </c>
      <c r="E8" s="39" t="s">
        <v>41</v>
      </c>
      <c r="F8" s="39" t="s">
        <v>43</v>
      </c>
      <c r="G8" s="26" t="s">
        <v>44</v>
      </c>
      <c r="H8" s="30"/>
    </row>
    <row r="9" spans="1:8" ht="14.1" customHeight="1">
      <c r="B9" s="12">
        <f>IF(AND(YEAR(AugSun1+21)=CalendarYear,MONTH(AugSun1+21)=8),AugSun1+21, "")</f>
        <v>43331</v>
      </c>
      <c r="C9" s="6">
        <f>IF(AND(YEAR(AugSun1+22)=CalendarYear,MONTH(AugSun1+22)=8),AugSun1+22, "")</f>
        <v>43332</v>
      </c>
      <c r="D9" s="6">
        <f>IF(AND(YEAR(AugSun1+23)=CalendarYear,MONTH(AugSun1+23)=8),AugSun1+23, "")</f>
        <v>43333</v>
      </c>
      <c r="E9" s="6">
        <f>IF(AND(YEAR(AugSun1+24)=CalendarYear,MONTH(AugSun1+24)=8),AugSun1+24, "")</f>
        <v>43334</v>
      </c>
      <c r="F9" s="6">
        <f>IF(AND(YEAR(AugSun1+25)=CalendarYear,MONTH(AugSun1+25)=8),AugSun1+25, "")</f>
        <v>43335</v>
      </c>
      <c r="G9" s="6">
        <f>IF(AND(YEAR(AugSun1+26)=CalendarYear,MONTH(AugSun1+26)=8),AugSun1+26, "")</f>
        <v>43336</v>
      </c>
      <c r="H9" s="13">
        <f>IF(AND(YEAR(AugSun1+27)=CalendarYear,MONTH(AugSun1+27)=8),AugSun1+27, "")</f>
        <v>43337</v>
      </c>
    </row>
    <row r="10" spans="1:8" ht="121.5">
      <c r="B10" s="29"/>
      <c r="C10" s="57" t="s">
        <v>47</v>
      </c>
      <c r="D10" s="39" t="s">
        <v>46</v>
      </c>
      <c r="E10" s="26" t="s">
        <v>48</v>
      </c>
      <c r="F10" s="26" t="s">
        <v>45</v>
      </c>
      <c r="G10" s="26" t="s">
        <v>49</v>
      </c>
      <c r="H10" s="30"/>
    </row>
    <row r="11" spans="1:8" ht="14.1" customHeight="1">
      <c r="B11" s="12">
        <f>IF(AND(YEAR(AugSun1+28)=CalendarYear,MONTH(AugSun1+28)=8),AugSun1+28, "")</f>
        <v>43338</v>
      </c>
      <c r="C11" s="6">
        <f>IF(AND(YEAR(AugSun1+29)=CalendarYear,MONTH(AugSun1+29)=8),AugSun1+29, "")</f>
        <v>43339</v>
      </c>
      <c r="D11" s="6">
        <f>IF(AND(YEAR(AugSun1+30)=CalendarYear,MONTH(AugSun1+30)=8),AugSun1+30, "")</f>
        <v>43340</v>
      </c>
      <c r="E11" s="6">
        <f>IF(AND(YEAR(AugSun1+31)=CalendarYear,MONTH(AugSun1+31)=8),AugSun1+31, "")</f>
        <v>43341</v>
      </c>
      <c r="F11" s="6">
        <f>IF(AND(YEAR(AugSun1+32)=CalendarYear,MONTH(AugSun1+32)=8),AugSun1+32, "")</f>
        <v>43342</v>
      </c>
      <c r="G11" s="6">
        <f>IF(AND(YEAR(AugSun1+33)=CalendarYear,MONTH(AugSun1+33)=8),AugSun1+33, "")</f>
        <v>43343</v>
      </c>
      <c r="H11" s="13" t="str">
        <f>IF(AND(YEAR(AugSun1+34)=CalendarYear,MONTH(AugSun1+34)=8),AugSun1+34, "")</f>
        <v/>
      </c>
    </row>
    <row r="12" spans="1:8" ht="108">
      <c r="B12" s="29"/>
      <c r="C12" s="38" t="s">
        <v>50</v>
      </c>
      <c r="D12" s="56" t="s">
        <v>51</v>
      </c>
      <c r="E12" s="39" t="s">
        <v>53</v>
      </c>
      <c r="F12" s="39" t="s">
        <v>52</v>
      </c>
      <c r="G12" s="39" t="s">
        <v>54</v>
      </c>
      <c r="H12" s="30"/>
    </row>
    <row r="13" spans="1:8" ht="14.1" customHeight="1">
      <c r="B13" s="28" t="str">
        <f>IF(AND(YEAR(AugSun1+35)=CalendarYear,MONTH(AugSun1+35)=8),AugSun1+35, "")</f>
        <v/>
      </c>
      <c r="C13" s="24" t="str">
        <f>IF(AND(YEAR(AugSun1+36)=CalendarYear,MONTH(AugSun1+36)=8),AugSun1+36, "")</f>
        <v/>
      </c>
      <c r="D13" s="65" t="s">
        <v>8</v>
      </c>
      <c r="E13" s="65"/>
      <c r="F13" s="65"/>
      <c r="G13" s="65"/>
      <c r="H13" s="66"/>
    </row>
    <row r="14" spans="1:8" ht="57.95" customHeight="1" thickBot="1">
      <c r="B14" s="31"/>
      <c r="C14" s="27"/>
      <c r="D14" s="62"/>
      <c r="E14" s="63"/>
      <c r="F14" s="63"/>
      <c r="G14" s="63"/>
      <c r="H14" s="64"/>
    </row>
  </sheetData>
  <mergeCells count="3">
    <mergeCell ref="B1:H1"/>
    <mergeCell ref="D13:H13"/>
    <mergeCell ref="D14:H14"/>
  </mergeCells>
  <phoneticPr fontId="1" type="noConversion"/>
  <printOptions horizontalCentered="1"/>
  <pageMargins left="0.5" right="0.5" top="0.75" bottom="0.75" header="0.5" footer="0.5"/>
  <pageSetup paperSize="9" orientation="portrait" r:id="rId1"/>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showGridLines="0" topLeftCell="A9" workbookViewId="0">
      <selection activeCell="G12" sqref="G12"/>
    </sheetView>
  </sheetViews>
  <sheetFormatPr baseColWidth="10" defaultColWidth="8.75" defaultRowHeight="14.25"/>
  <cols>
    <col min="1" max="1" width="2.375" style="1" customWidth="1"/>
    <col min="2" max="2" width="8.375" style="4" customWidth="1"/>
    <col min="3" max="3" width="28.75" style="4" bestFit="1" customWidth="1"/>
    <col min="4" max="4" width="40.625" style="4" customWidth="1"/>
    <col min="5" max="5" width="31.375" style="4" customWidth="1"/>
    <col min="6" max="6" width="33.625" style="4" customWidth="1"/>
    <col min="7" max="7" width="35.375" style="4" customWidth="1"/>
    <col min="8" max="8" width="17.625" style="4" customWidth="1"/>
    <col min="9" max="16384" width="8.75" style="4"/>
  </cols>
  <sheetData>
    <row r="1" spans="1:8" s="1" customFormat="1" ht="59.25" customHeight="1" thickBot="1">
      <c r="B1" s="61">
        <f>DATE(CalendarYear,9,1)</f>
        <v>43344</v>
      </c>
      <c r="C1" s="61"/>
      <c r="D1" s="61"/>
      <c r="E1" s="61"/>
      <c r="F1" s="61"/>
      <c r="G1" s="61"/>
      <c r="H1" s="61"/>
    </row>
    <row r="2" spans="1:8" s="3" customFormat="1" ht="21.75" customHeight="1">
      <c r="A2" s="2"/>
      <c r="B2" s="18" t="s">
        <v>0</v>
      </c>
      <c r="C2" s="19" t="s">
        <v>1</v>
      </c>
      <c r="D2" s="19" t="s">
        <v>2</v>
      </c>
      <c r="E2" s="19" t="s">
        <v>3</v>
      </c>
      <c r="F2" s="19" t="s">
        <v>4</v>
      </c>
      <c r="G2" s="19" t="s">
        <v>5</v>
      </c>
      <c r="H2" s="20" t="s">
        <v>6</v>
      </c>
    </row>
    <row r="3" spans="1:8" ht="14.1" customHeight="1">
      <c r="B3" s="9" t="str">
        <f>IF(AND(YEAR(SepSun1)=CalendarYear,MONTH(SepSun1)=9),SepSun1, "")</f>
        <v/>
      </c>
      <c r="C3" s="5" t="str">
        <f>IF(AND(YEAR(SepSun1+1)=CalendarYear,MONTH(SepSun1+1)=9),SepSun1+1, "")</f>
        <v/>
      </c>
      <c r="D3" s="5" t="str">
        <f>IF(AND(YEAR(SepSun1+2)=CalendarYear,MONTH(SepSun1+2)=9),SepSun1+2, "")</f>
        <v/>
      </c>
      <c r="E3" s="5" t="str">
        <f>IF(AND(YEAR(SepSun1+3)=CalendarYear,MONTH(SepSun1+3)=9),SepSun1+3, "")</f>
        <v/>
      </c>
      <c r="F3" s="5" t="str">
        <f>IF(AND(YEAR(SepSun1+4)=CalendarYear,MONTH(SepSun1+4)=9),SepSun1+4, "")</f>
        <v/>
      </c>
      <c r="G3" s="5" t="str">
        <f>IF(AND(YEAR(SepSun1+5)=CalendarYear,MONTH(SepSun1+5)=9),SepSun1+5, "")</f>
        <v/>
      </c>
      <c r="H3" s="10">
        <f>IF(AND(YEAR(SepSun1+6)=CalendarYear,MONTH(SepSun1+6)=9),SepSun1+6, "")</f>
        <v>43344</v>
      </c>
    </row>
    <row r="4" spans="1:8" ht="57.95" customHeight="1">
      <c r="B4" s="29"/>
      <c r="C4" s="25"/>
      <c r="D4" s="26"/>
      <c r="E4" s="26"/>
      <c r="F4" s="26"/>
      <c r="G4" s="26"/>
      <c r="H4" s="30"/>
    </row>
    <row r="5" spans="1:8" ht="14.1" customHeight="1">
      <c r="B5" s="11">
        <f>IF(AND(YEAR(SepSun1+7)=CalendarYear,MONTH(SepSun1+7)=9),SepSun1+7, "")</f>
        <v>43345</v>
      </c>
      <c r="C5" s="5">
        <f>IF(AND(YEAR(SepSun1+8)=CalendarYear,MONTH(SepSun1+8)=9),SepSun1+8, "")</f>
        <v>43346</v>
      </c>
      <c r="D5" s="5">
        <f>IF(AND(YEAR(SepSun1+9)=CalendarYear,MONTH(SepSun1+9)=9),SepSun1+9, "")</f>
        <v>43347</v>
      </c>
      <c r="E5" s="5">
        <f>IF(AND(YEAR(SepSun1+10)=CalendarYear,MONTH(SepSun1+10)=9),SepSun1+10, "")</f>
        <v>43348</v>
      </c>
      <c r="F5" s="5">
        <f>IF(AND(YEAR(SepSun1+11)=CalendarYear,MONTH(SepSun1+11)=9),SepSun1+11, "")</f>
        <v>43349</v>
      </c>
      <c r="G5" s="5">
        <f>IF(AND(YEAR(SepSun1+12)=CalendarYear,MONTH(SepSun1+12)=9),SepSun1+12,"")</f>
        <v>43350</v>
      </c>
      <c r="H5" s="10">
        <f>IF(AND(YEAR(SepSun1+13)=CalendarYear,MONTH(SepSun1+13)=9),SepSun1+13, "")</f>
        <v>43351</v>
      </c>
    </row>
    <row r="6" spans="1:8" ht="162">
      <c r="B6" s="29"/>
      <c r="C6" s="54" t="s">
        <v>56</v>
      </c>
      <c r="D6" s="54" t="s">
        <v>55</v>
      </c>
      <c r="E6" s="26" t="s">
        <v>57</v>
      </c>
      <c r="F6" s="26" t="s">
        <v>58</v>
      </c>
      <c r="G6" s="26" t="s">
        <v>59</v>
      </c>
      <c r="H6" s="30"/>
    </row>
    <row r="7" spans="1:8" ht="14.1" customHeight="1">
      <c r="B7" s="11">
        <f>IF(AND(YEAR(SepSun1+14)=CalendarYear,MONTH(SepSun1+14)=9),SepSun1+14, "")</f>
        <v>43352</v>
      </c>
      <c r="C7" s="5">
        <f>IF(AND(YEAR(SepSun1+15)=CalendarYear,MONTH(SepSun1+15)=9),SepSun1+15, "")</f>
        <v>43353</v>
      </c>
      <c r="D7" s="5">
        <f>IF(AND(YEAR(SepSun1+16)=CalendarYear,MONTH(SepSun1+16)=9),SepSun1+16, "")</f>
        <v>43354</v>
      </c>
      <c r="E7" s="5">
        <f>IF(AND(YEAR(SepSun1+17)=CalendarYear,MONTH(SepSun1+17)=9),SepSun1+17, "")</f>
        <v>43355</v>
      </c>
      <c r="F7" s="5">
        <f>IF(AND(YEAR(SepSun1+18)=CalendarYear,MONTH(SepSun1+18)=9),SepSun1+18, "")</f>
        <v>43356</v>
      </c>
      <c r="G7" s="5">
        <f>IF(AND(YEAR(SepSun1+19)=CalendarYear,MONTH(SepSun1+19)=9),SepSun1+19, "")</f>
        <v>43357</v>
      </c>
      <c r="H7" s="10">
        <f>IF(AND(YEAR(SepSun1+20)=CalendarYear,MONTH(SepSun1+20)=9),SepSun1+20, "")</f>
        <v>43358</v>
      </c>
    </row>
    <row r="8" spans="1:8" ht="94.5">
      <c r="B8" s="29"/>
      <c r="C8" s="26" t="s">
        <v>60</v>
      </c>
      <c r="D8" s="39" t="s">
        <v>61</v>
      </c>
      <c r="E8" s="54" t="s">
        <v>62</v>
      </c>
      <c r="F8" s="58" t="s">
        <v>64</v>
      </c>
      <c r="G8" s="38" t="s">
        <v>63</v>
      </c>
      <c r="H8" s="30"/>
    </row>
    <row r="9" spans="1:8" ht="14.1" customHeight="1">
      <c r="B9" s="12">
        <f>IF(AND(YEAR(SepSun1+21)=CalendarYear,MONTH(SepSun1+21)=9),SepSun1+21, "")</f>
        <v>43359</v>
      </c>
      <c r="C9" s="6">
        <f>IF(AND(YEAR(SepSun1+22)=CalendarYear,MONTH(SepSun1+22)=9),SepSun1+22, "")</f>
        <v>43360</v>
      </c>
      <c r="D9" s="6">
        <f>IF(AND(YEAR(SepSun1+23)=CalendarYear,MONTH(SepSun1+23)=9),SepSun1+23, "")</f>
        <v>43361</v>
      </c>
      <c r="E9" s="6">
        <f>IF(AND(YEAR(SepSun1+24)=CalendarYear,MONTH(SepSun1+24)=9),SepSun1+24, "")</f>
        <v>43362</v>
      </c>
      <c r="F9" s="6">
        <f>IF(AND(YEAR(SepSun1+25)=CalendarYear,MONTH(SepSun1+25)=9),SepSun1+25, "")</f>
        <v>43363</v>
      </c>
      <c r="G9" s="6">
        <f>IF(AND(YEAR(SepSun1+26)=CalendarYear,MONTH(SepSun1+26)=9),SepSun1+26, "")</f>
        <v>43364</v>
      </c>
      <c r="H9" s="13">
        <f>IF(AND(YEAR(SepSun1+27)=CalendarYear,MONTH(SepSun1+27)=9),SepSun1+27, "")</f>
        <v>43365</v>
      </c>
    </row>
    <row r="10" spans="1:8" ht="135">
      <c r="B10" s="29"/>
      <c r="C10" s="25" t="s">
        <v>66</v>
      </c>
      <c r="D10" s="38" t="s">
        <v>65</v>
      </c>
      <c r="E10" s="39" t="s">
        <v>67</v>
      </c>
      <c r="F10" s="55" t="s">
        <v>68</v>
      </c>
      <c r="G10" s="39" t="s">
        <v>69</v>
      </c>
      <c r="H10" s="30"/>
    </row>
    <row r="11" spans="1:8" ht="14.1" customHeight="1">
      <c r="B11" s="12">
        <f>IF(AND(YEAR(SepSun1+28)=CalendarYear,MONTH(SepSun1+28)=9),SepSun1+28, "")</f>
        <v>43366</v>
      </c>
      <c r="C11" s="6">
        <f>IF(AND(YEAR(SepSun1+29)=CalendarYear,MONTH(SepSun1+29)=9),SepSun1+29, "")</f>
        <v>43367</v>
      </c>
      <c r="D11" s="6">
        <f>IF(AND(YEAR(SepSun1+30)=CalendarYear,MONTH(SepSun1+30)=9),SepSun1+30, "")</f>
        <v>43368</v>
      </c>
      <c r="E11" s="6">
        <f>IF(AND(YEAR(SepSun1+31)=CalendarYear,MONTH(SepSun1+31)=9),SepSun1+31, "")</f>
        <v>43369</v>
      </c>
      <c r="F11" s="6">
        <f>IF(AND(YEAR(SepSun1+32)=CalendarYear,MONTH(SepSun1+32)=9),SepSun1+32, "")</f>
        <v>43370</v>
      </c>
      <c r="G11" s="6">
        <f>IF(AND(YEAR(SepSun1+33)=CalendarYear,MONTH(SepSun1+33)=9),SepSun1+33, "")</f>
        <v>43371</v>
      </c>
      <c r="H11" s="13">
        <f>IF(AND(YEAR(SepSun1+34)=CalendarYear,MONTH(SepSun1+34)=9),SepSun1+34, "")</f>
        <v>43372</v>
      </c>
    </row>
    <row r="12" spans="1:8" ht="138.75" customHeight="1">
      <c r="B12" s="29"/>
      <c r="C12" s="38" t="s">
        <v>70</v>
      </c>
      <c r="D12" s="39"/>
      <c r="E12" s="26" t="s">
        <v>71</v>
      </c>
      <c r="F12" s="39" t="s">
        <v>72</v>
      </c>
      <c r="G12" s="38" t="s">
        <v>74</v>
      </c>
      <c r="H12" s="30"/>
    </row>
    <row r="13" spans="1:8" ht="14.1" customHeight="1">
      <c r="B13" s="28">
        <f>IF(AND(YEAR(SepSun1+35)=CalendarYear,MONTH(SepSun1+35)=9),SepSun1+35, "")</f>
        <v>43373</v>
      </c>
      <c r="C13" s="65" t="s">
        <v>8</v>
      </c>
      <c r="D13" s="65"/>
      <c r="E13" s="65"/>
      <c r="F13" s="65"/>
      <c r="G13" s="65"/>
      <c r="H13" s="66"/>
    </row>
    <row r="14" spans="1:8" ht="57.95" customHeight="1" thickBot="1">
      <c r="B14" s="31"/>
      <c r="C14" s="62"/>
      <c r="D14" s="63"/>
      <c r="E14" s="63"/>
      <c r="F14" s="63"/>
      <c r="G14" s="63"/>
      <c r="H14" s="64"/>
    </row>
  </sheetData>
  <mergeCells count="3">
    <mergeCell ref="B1:H1"/>
    <mergeCell ref="C13:H13"/>
    <mergeCell ref="C14:H14"/>
  </mergeCells>
  <phoneticPr fontId="1" type="noConversion"/>
  <printOptions horizontalCentered="1"/>
  <pageMargins left="0.5" right="0.5" top="0.75" bottom="0.75" header="0.5" footer="0.5"/>
  <pageSetup paperSize="9" scale="70" orientation="landscape" r:id="rId1"/>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4</vt:i4>
      </vt:variant>
    </vt:vector>
  </HeadingPairs>
  <TitlesOfParts>
    <vt:vector size="17" baseType="lpstr">
      <vt:lpstr>Jan</vt:lpstr>
      <vt:lpstr>Feb</vt:lpstr>
      <vt:lpstr>Mar</vt:lpstr>
      <vt:lpstr>Apr</vt:lpstr>
      <vt:lpstr>May</vt:lpstr>
      <vt:lpstr>Jun</vt:lpstr>
      <vt:lpstr>Jul</vt:lpstr>
      <vt:lpstr>Aug</vt:lpstr>
      <vt:lpstr>Sep</vt:lpstr>
      <vt:lpstr>Oct</vt:lpstr>
      <vt:lpstr>Nov</vt:lpstr>
      <vt:lpstr>Dec</vt:lpstr>
      <vt:lpstr>Lookup List</vt:lpstr>
      <vt:lpstr>CalendarYear</vt:lpstr>
      <vt:lpstr>Year</vt:lpstr>
      <vt:lpstr>Jan!Zone_d_impression</vt:lpstr>
      <vt:lpstr>Jul!Zone_d_impression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Gabriel Gagnère</cp:lastModifiedBy>
  <cp:lastPrinted>2018-09-06T09:15:54Z</cp:lastPrinted>
  <dcterms:created xsi:type="dcterms:W3CDTF">2001-05-02T15:52:45Z</dcterms:created>
  <dcterms:modified xsi:type="dcterms:W3CDTF">2018-12-20T13:56:01Z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TC102851621033</vt:lpwstr>
  </property>
</Properties>
</file>