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"/>
    </mc:Choice>
  </mc:AlternateContent>
  <xr:revisionPtr revIDLastSave="0" documentId="13_ncr:1_{57144141-64D2-493B-AFFC-62D4CAB9DC60}" xr6:coauthVersionLast="47" xr6:coauthVersionMax="47" xr10:uidLastSave="{00000000-0000-0000-0000-000000000000}"/>
  <bookViews>
    <workbookView xWindow="1260" yWindow="0" windowWidth="26160" windowHeight="15135" xr2:uid="{469C3D86-AA2E-4491-8BF5-104B8D4665A4}"/>
  </bookViews>
  <sheets>
    <sheet name="Factures à encaisser 2024" sheetId="8" r:id="rId1"/>
    <sheet name="Factures à payer 2024" sheetId="5" r:id="rId2"/>
    <sheet name="Deb-Kred" sheetId="7" r:id="rId3"/>
    <sheet name="xxx" sheetId="11" r:id="rId4"/>
    <sheet name="Salaires" sheetId="10" r:id="rId5"/>
  </sheets>
  <externalReferences>
    <externalReference r:id="rId6"/>
    <externalReference r:id="rId7"/>
  </externalReferences>
  <definedNames>
    <definedName name="FA">'[1]Creancier Section de frais 2019'!$10:$10</definedName>
    <definedName name="FA_OU_2019">'[1]Creancier Section de frais 2019'!$10:$10</definedName>
    <definedName name="_xlnm.Print_Titles" localSheetId="0">'Factures à encaisser 2024'!$1:$15</definedName>
    <definedName name="_xlnm.Print_Titles" localSheetId="1">'Factures à payer 2024'!$21:$21</definedName>
    <definedName name="_xlnm.Print_Titles">#REF!</definedName>
    <definedName name="Tabelle" localSheetId="0">'Factures à encaisser 2024'!$1:$1048576</definedName>
    <definedName name="Tabelle2" localSheetId="0">Tableau3453[#All]</definedName>
    <definedName name="Tabelle2">[2]!Tableau345[#All]</definedName>
    <definedName name="xx">'[1]Creancier Section de frais 2019'!$10:$10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7" i="8" l="1"/>
  <c r="G698" i="8"/>
  <c r="R698" i="8" s="1"/>
  <c r="G726" i="8"/>
  <c r="R726" i="8" s="1"/>
  <c r="G793" i="8"/>
  <c r="R793" i="8" s="1"/>
  <c r="J748" i="5"/>
  <c r="K748" i="5"/>
  <c r="H738" i="5"/>
  <c r="O738" i="5"/>
  <c r="T738" i="5"/>
  <c r="Z738" i="5"/>
  <c r="H737" i="5"/>
  <c r="O737" i="5"/>
  <c r="T737" i="5"/>
  <c r="Z737" i="5"/>
  <c r="H744" i="5"/>
  <c r="O744" i="5"/>
  <c r="T744" i="5"/>
  <c r="Z744" i="5"/>
  <c r="E743" i="5"/>
  <c r="H743" i="5" s="1"/>
  <c r="T743" i="5"/>
  <c r="Z743" i="5"/>
  <c r="E742" i="5"/>
  <c r="H742" i="5" s="1"/>
  <c r="T742" i="5"/>
  <c r="Z742" i="5"/>
  <c r="G788" i="8"/>
  <c r="R788" i="8" s="1"/>
  <c r="G540" i="8"/>
  <c r="R540" i="8" s="1"/>
  <c r="G552" i="8"/>
  <c r="R552" i="8" s="1"/>
  <c r="G637" i="8"/>
  <c r="R637" i="8" s="1"/>
  <c r="G650" i="8"/>
  <c r="R650" i="8" s="1"/>
  <c r="G669" i="8"/>
  <c r="R669" i="8" s="1"/>
  <c r="G712" i="8"/>
  <c r="R712" i="8" s="1"/>
  <c r="G720" i="8"/>
  <c r="R720" i="8" s="1"/>
  <c r="G740" i="8"/>
  <c r="R740" i="8" s="1"/>
  <c r="G741" i="8"/>
  <c r="R741" i="8" s="1"/>
  <c r="G764" i="8"/>
  <c r="R764" i="8" s="1"/>
  <c r="G767" i="8"/>
  <c r="R767" i="8" s="1"/>
  <c r="G795" i="8"/>
  <c r="R795" i="8" s="1"/>
  <c r="G780" i="8"/>
  <c r="R780" i="8" s="1"/>
  <c r="F775" i="8"/>
  <c r="F791" i="8"/>
  <c r="G775" i="8"/>
  <c r="R775" i="8" s="1"/>
  <c r="H714" i="5"/>
  <c r="O714" i="5"/>
  <c r="T714" i="5"/>
  <c r="Z714" i="5"/>
  <c r="H713" i="5"/>
  <c r="O713" i="5"/>
  <c r="T713" i="5"/>
  <c r="Z713" i="5"/>
  <c r="H741" i="5"/>
  <c r="O741" i="5"/>
  <c r="T741" i="5"/>
  <c r="Z741" i="5"/>
  <c r="H740" i="5"/>
  <c r="O740" i="5"/>
  <c r="T740" i="5"/>
  <c r="Z740" i="5"/>
  <c r="G776" i="8"/>
  <c r="R776" i="8" s="1"/>
  <c r="G652" i="8"/>
  <c r="R652" i="8" s="1"/>
  <c r="H736" i="5"/>
  <c r="O736" i="5"/>
  <c r="T736" i="5"/>
  <c r="Z736" i="5"/>
  <c r="H735" i="5"/>
  <c r="O735" i="5"/>
  <c r="T735" i="5"/>
  <c r="Z735" i="5"/>
  <c r="H734" i="5"/>
  <c r="O734" i="5"/>
  <c r="T734" i="5"/>
  <c r="Z734" i="5"/>
  <c r="H733" i="5"/>
  <c r="O733" i="5"/>
  <c r="T733" i="5"/>
  <c r="Z733" i="5"/>
  <c r="G457" i="8"/>
  <c r="R457" i="8" s="1"/>
  <c r="G472" i="8"/>
  <c r="R472" i="8" s="1"/>
  <c r="G716" i="8"/>
  <c r="R716" i="8" s="1"/>
  <c r="G783" i="8"/>
  <c r="R783" i="8" s="1"/>
  <c r="G794" i="8"/>
  <c r="R794" i="8" s="1"/>
  <c r="G739" i="8"/>
  <c r="R739" i="8" s="1"/>
  <c r="O742" i="5" l="1"/>
  <c r="O743" i="5"/>
  <c r="AB13" i="7"/>
  <c r="H726" i="5" l="1"/>
  <c r="O726" i="5"/>
  <c r="T726" i="5"/>
  <c r="Z726" i="5"/>
  <c r="H731" i="5"/>
  <c r="O731" i="5"/>
  <c r="T731" i="5"/>
  <c r="Z731" i="5"/>
  <c r="G789" i="8" l="1"/>
  <c r="R789" i="8" s="1"/>
  <c r="G696" i="8"/>
  <c r="R696" i="8" s="1"/>
  <c r="G556" i="8"/>
  <c r="R556" i="8" s="1"/>
  <c r="G599" i="8"/>
  <c r="R599" i="8" s="1"/>
  <c r="G689" i="8"/>
  <c r="R689" i="8" s="1"/>
  <c r="G760" i="8"/>
  <c r="R760" i="8" s="1"/>
  <c r="G790" i="8"/>
  <c r="R790" i="8" s="1"/>
  <c r="G763" i="8"/>
  <c r="R763" i="8" s="1"/>
  <c r="H721" i="5" l="1"/>
  <c r="O721" i="5"/>
  <c r="T721" i="5"/>
  <c r="Z721" i="5"/>
  <c r="H614" i="5"/>
  <c r="O614" i="5"/>
  <c r="T614" i="5"/>
  <c r="Z614" i="5"/>
  <c r="H712" i="5"/>
  <c r="O712" i="5"/>
  <c r="T712" i="5"/>
  <c r="Z712" i="5"/>
  <c r="H711" i="5"/>
  <c r="O711" i="5"/>
  <c r="T711" i="5"/>
  <c r="Z711" i="5"/>
  <c r="H703" i="5"/>
  <c r="O703" i="5"/>
  <c r="T703" i="5"/>
  <c r="Z703" i="5"/>
  <c r="H724" i="5"/>
  <c r="O724" i="5"/>
  <c r="T724" i="5"/>
  <c r="Z724" i="5"/>
  <c r="H729" i="5"/>
  <c r="O729" i="5"/>
  <c r="T729" i="5"/>
  <c r="Z729" i="5"/>
  <c r="H732" i="5"/>
  <c r="O732" i="5"/>
  <c r="T732" i="5"/>
  <c r="Z732" i="5"/>
  <c r="H720" i="5"/>
  <c r="O720" i="5"/>
  <c r="T720" i="5"/>
  <c r="Z720" i="5"/>
  <c r="E719" i="5"/>
  <c r="H719" i="5" s="1"/>
  <c r="T719" i="5"/>
  <c r="Z719" i="5"/>
  <c r="H728" i="5"/>
  <c r="O728" i="5"/>
  <c r="T728" i="5"/>
  <c r="Z728" i="5"/>
  <c r="H727" i="5"/>
  <c r="O727" i="5"/>
  <c r="T727" i="5"/>
  <c r="Z727" i="5"/>
  <c r="H696" i="5"/>
  <c r="O696" i="5"/>
  <c r="T696" i="5"/>
  <c r="Z696" i="5"/>
  <c r="H739" i="5"/>
  <c r="T739" i="5" s="1"/>
  <c r="O739" i="5"/>
  <c r="Z739" i="5"/>
  <c r="O719" i="5" l="1"/>
  <c r="E718" i="5"/>
  <c r="H718" i="5" s="1"/>
  <c r="T718" i="5"/>
  <c r="Z718" i="5"/>
  <c r="H730" i="5"/>
  <c r="O730" i="5"/>
  <c r="T730" i="5"/>
  <c r="Z730" i="5"/>
  <c r="AA13" i="7"/>
  <c r="Z13" i="7"/>
  <c r="G688" i="8"/>
  <c r="R688" i="8" s="1"/>
  <c r="G695" i="8"/>
  <c r="R695" i="8" s="1"/>
  <c r="G706" i="8"/>
  <c r="R706" i="8" s="1"/>
  <c r="G707" i="8"/>
  <c r="R707" i="8" s="1"/>
  <c r="G694" i="8"/>
  <c r="R694" i="8" s="1"/>
  <c r="G564" i="8"/>
  <c r="R564" i="8" s="1"/>
  <c r="G671" i="8"/>
  <c r="R671" i="8" s="1"/>
  <c r="E700" i="5"/>
  <c r="H700" i="5" s="1"/>
  <c r="E699" i="5"/>
  <c r="O699" i="5" s="1"/>
  <c r="Z700" i="5"/>
  <c r="T700" i="5"/>
  <c r="O700" i="5"/>
  <c r="E717" i="5"/>
  <c r="H717" i="5" s="1"/>
  <c r="T717" i="5"/>
  <c r="Z717" i="5"/>
  <c r="H716" i="5"/>
  <c r="O716" i="5"/>
  <c r="T716" i="5"/>
  <c r="Z716" i="5"/>
  <c r="H715" i="5"/>
  <c r="O715" i="5"/>
  <c r="T715" i="5"/>
  <c r="Z715" i="5"/>
  <c r="E725" i="5"/>
  <c r="T725" i="5"/>
  <c r="Z725" i="5"/>
  <c r="H672" i="5"/>
  <c r="T672" i="5" s="1"/>
  <c r="O672" i="5"/>
  <c r="Z672" i="5"/>
  <c r="E702" i="5"/>
  <c r="H702" i="5" s="1"/>
  <c r="T702" i="5"/>
  <c r="Z702" i="5"/>
  <c r="H688" i="5"/>
  <c r="T688" i="5" s="1"/>
  <c r="O688" i="5"/>
  <c r="Z688" i="5"/>
  <c r="H701" i="5"/>
  <c r="O701" i="5"/>
  <c r="T701" i="5"/>
  <c r="Z701" i="5"/>
  <c r="T699" i="5"/>
  <c r="Z699" i="5"/>
  <c r="H709" i="5"/>
  <c r="O709" i="5"/>
  <c r="T709" i="5"/>
  <c r="Z709" i="5"/>
  <c r="O725" i="5" l="1"/>
  <c r="O718" i="5"/>
  <c r="H699" i="5"/>
  <c r="O717" i="5"/>
  <c r="H725" i="5"/>
  <c r="O702" i="5"/>
  <c r="G541" i="8"/>
  <c r="R541" i="8" s="1"/>
  <c r="G633" i="8"/>
  <c r="R633" i="8" s="1"/>
  <c r="G705" i="8"/>
  <c r="R705" i="8" s="1"/>
  <c r="G735" i="8"/>
  <c r="R735" i="8" s="1"/>
  <c r="G737" i="8"/>
  <c r="R737" i="8" s="1"/>
  <c r="G738" i="8"/>
  <c r="R738" i="8" s="1"/>
  <c r="G762" i="8"/>
  <c r="R762" i="8" s="1"/>
  <c r="G747" i="8"/>
  <c r="R747" i="8" s="1"/>
  <c r="G753" i="8"/>
  <c r="R753" i="8" s="1"/>
  <c r="H707" i="5" l="1"/>
  <c r="O707" i="5"/>
  <c r="T707" i="5"/>
  <c r="Z707" i="5"/>
  <c r="H722" i="5"/>
  <c r="O722" i="5"/>
  <c r="T722" i="5"/>
  <c r="Z722" i="5"/>
  <c r="H692" i="5"/>
  <c r="O692" i="5"/>
  <c r="T692" i="5"/>
  <c r="Z692" i="5"/>
  <c r="Z695" i="5"/>
  <c r="H695" i="5"/>
  <c r="O695" i="5"/>
  <c r="T695" i="5"/>
  <c r="H698" i="5"/>
  <c r="O698" i="5"/>
  <c r="T698" i="5"/>
  <c r="Z698" i="5"/>
  <c r="E693" i="5"/>
  <c r="H693" i="5" s="1"/>
  <c r="T693" i="5"/>
  <c r="Z693" i="5"/>
  <c r="H613" i="5"/>
  <c r="T613" i="5" s="1"/>
  <c r="O613" i="5"/>
  <c r="Z613" i="5"/>
  <c r="H697" i="5"/>
  <c r="O697" i="5"/>
  <c r="T697" i="5"/>
  <c r="Z697" i="5"/>
  <c r="O693" i="5" l="1"/>
  <c r="G675" i="8"/>
  <c r="R675" i="8" s="1"/>
  <c r="G693" i="8"/>
  <c r="R693" i="8" s="1"/>
  <c r="G715" i="8"/>
  <c r="R715" i="8" s="1"/>
  <c r="G727" i="8"/>
  <c r="R727" i="8" s="1"/>
  <c r="G777" i="8"/>
  <c r="R777" i="8" s="1"/>
  <c r="G779" i="8"/>
  <c r="R779" i="8" s="1"/>
  <c r="G786" i="8"/>
  <c r="R786" i="8" s="1"/>
  <c r="G787" i="8"/>
  <c r="R787" i="8" s="1"/>
  <c r="G597" i="8"/>
  <c r="R597" i="8" s="1"/>
  <c r="H694" i="5"/>
  <c r="O694" i="5"/>
  <c r="T694" i="5"/>
  <c r="Z694" i="5"/>
  <c r="H689" i="5"/>
  <c r="O689" i="5"/>
  <c r="T689" i="5"/>
  <c r="Z689" i="5"/>
  <c r="E676" i="5"/>
  <c r="H676" i="5" s="1"/>
  <c r="O676" i="5"/>
  <c r="T676" i="5"/>
  <c r="Z676" i="5"/>
  <c r="G692" i="8"/>
  <c r="R692" i="8" s="1"/>
  <c r="G736" i="8"/>
  <c r="R736" i="8" s="1"/>
  <c r="H691" i="5"/>
  <c r="O691" i="5"/>
  <c r="T691" i="5"/>
  <c r="Z691" i="5"/>
  <c r="H670" i="5"/>
  <c r="T670" i="5" s="1"/>
  <c r="O670" i="5"/>
  <c r="Z670" i="5"/>
  <c r="G619" i="8"/>
  <c r="R619" i="8" s="1"/>
  <c r="G594" i="8"/>
  <c r="R594" i="8" s="1"/>
  <c r="G575" i="8"/>
  <c r="R575" i="8" s="1"/>
  <c r="G756" i="8"/>
  <c r="R756" i="8" s="1"/>
  <c r="G752" i="8"/>
  <c r="R752" i="8" s="1"/>
  <c r="H659" i="5"/>
  <c r="T659" i="5" s="1"/>
  <c r="O659" i="5"/>
  <c r="Z659" i="5"/>
  <c r="E690" i="5"/>
  <c r="H690" i="5" s="1"/>
  <c r="T690" i="5" s="1"/>
  <c r="Z690" i="5"/>
  <c r="E685" i="5"/>
  <c r="H685" i="5" s="1"/>
  <c r="T685" i="5"/>
  <c r="Z685" i="5"/>
  <c r="H687" i="5"/>
  <c r="T687" i="5" s="1"/>
  <c r="O687" i="5"/>
  <c r="Z687" i="5"/>
  <c r="G424" i="8"/>
  <c r="R424" i="8" s="1"/>
  <c r="G560" i="8"/>
  <c r="R560" i="8" s="1"/>
  <c r="G644" i="8"/>
  <c r="R644" i="8" s="1"/>
  <c r="G627" i="8"/>
  <c r="R627" i="8" s="1"/>
  <c r="G761" i="8"/>
  <c r="R761" i="8" s="1"/>
  <c r="H686" i="5"/>
  <c r="T686" i="5" s="1"/>
  <c r="O686" i="5"/>
  <c r="Z686" i="5"/>
  <c r="K409" i="5"/>
  <c r="H684" i="5"/>
  <c r="O684" i="5"/>
  <c r="T684" i="5"/>
  <c r="Z684" i="5"/>
  <c r="Y9" i="7"/>
  <c r="Y8" i="7"/>
  <c r="Y7" i="7"/>
  <c r="F648" i="8"/>
  <c r="F574" i="8"/>
  <c r="G574" i="8"/>
  <c r="R574" i="8" s="1"/>
  <c r="E615" i="5"/>
  <c r="H615" i="5" s="1"/>
  <c r="O615" i="5"/>
  <c r="T615" i="5"/>
  <c r="Z615" i="5"/>
  <c r="G645" i="8"/>
  <c r="R645" i="8" s="1"/>
  <c r="G683" i="8"/>
  <c r="R683" i="8" s="1"/>
  <c r="G774" i="8"/>
  <c r="R774" i="8" s="1"/>
  <c r="E642" i="5"/>
  <c r="H642" i="5" s="1"/>
  <c r="T642" i="5" s="1"/>
  <c r="Z642" i="5"/>
  <c r="H710" i="5"/>
  <c r="T710" i="5" s="1"/>
  <c r="O710" i="5"/>
  <c r="Z710" i="5"/>
  <c r="H683" i="5"/>
  <c r="O683" i="5"/>
  <c r="T683" i="5"/>
  <c r="Z683" i="5"/>
  <c r="E723" i="5"/>
  <c r="H723" i="5" s="1"/>
  <c r="T723" i="5" s="1"/>
  <c r="Z723" i="5"/>
  <c r="O690" i="5" l="1"/>
  <c r="O685" i="5"/>
  <c r="Y6" i="7"/>
  <c r="Y13" i="7" s="1"/>
  <c r="O642" i="5"/>
  <c r="O723" i="5"/>
  <c r="G718" i="8"/>
  <c r="R718" i="8" s="1"/>
  <c r="G771" i="8"/>
  <c r="R771" i="8" s="1"/>
  <c r="G772" i="8"/>
  <c r="R772" i="8" s="1"/>
  <c r="G773" i="8"/>
  <c r="R773" i="8" s="1"/>
  <c r="G778" i="8"/>
  <c r="R778" i="8" s="1"/>
  <c r="H611" i="5"/>
  <c r="T611" i="5" s="1"/>
  <c r="O611" i="5"/>
  <c r="Z611" i="5"/>
  <c r="H630" i="5" l="1"/>
  <c r="O630" i="5"/>
  <c r="T630" i="5"/>
  <c r="Z630" i="5"/>
  <c r="H680" i="5"/>
  <c r="T680" i="5" s="1"/>
  <c r="O680" i="5"/>
  <c r="Z680" i="5"/>
  <c r="G672" i="8"/>
  <c r="R672" i="8" s="1"/>
  <c r="G703" i="8"/>
  <c r="R703" i="8" s="1"/>
  <c r="G708" i="8"/>
  <c r="R708" i="8" s="1"/>
  <c r="G750" i="8"/>
  <c r="R750" i="8" s="1"/>
  <c r="G704" i="8"/>
  <c r="R704" i="8" s="1"/>
  <c r="G766" i="8"/>
  <c r="R766" i="8" s="1"/>
  <c r="G749" i="8"/>
  <c r="R749" i="8" s="1"/>
  <c r="G796" i="8"/>
  <c r="R796" i="8" s="1"/>
  <c r="G751" i="8"/>
  <c r="R751" i="8" s="1"/>
  <c r="H666" i="5"/>
  <c r="T666" i="5" s="1"/>
  <c r="O666" i="5"/>
  <c r="Z666" i="5"/>
  <c r="H602" i="5"/>
  <c r="T602" i="5" s="1"/>
  <c r="O602" i="5"/>
  <c r="Z602" i="5"/>
  <c r="H661" i="5"/>
  <c r="T661" i="5" s="1"/>
  <c r="O661" i="5"/>
  <c r="Z661" i="5"/>
  <c r="H634" i="5"/>
  <c r="O634" i="5"/>
  <c r="T634" i="5"/>
  <c r="Z634" i="5"/>
  <c r="E674" i="5" l="1"/>
  <c r="O674" i="5" s="1"/>
  <c r="E673" i="5"/>
  <c r="T674" i="5"/>
  <c r="Z674" i="5"/>
  <c r="T673" i="5"/>
  <c r="Z673" i="5"/>
  <c r="C9" i="10"/>
  <c r="H708" i="5"/>
  <c r="T708" i="5" s="1"/>
  <c r="O708" i="5"/>
  <c r="Z708" i="5"/>
  <c r="H678" i="5"/>
  <c r="T678" i="5" s="1"/>
  <c r="O678" i="5"/>
  <c r="Z678" i="5"/>
  <c r="H668" i="5"/>
  <c r="O668" i="5"/>
  <c r="T668" i="5"/>
  <c r="Z668" i="5"/>
  <c r="H646" i="5"/>
  <c r="T646" i="5" s="1"/>
  <c r="O646" i="5"/>
  <c r="Z646" i="5"/>
  <c r="X13" i="7"/>
  <c r="G674" i="5" l="1"/>
  <c r="H674" i="5" s="1"/>
  <c r="G673" i="5"/>
  <c r="H673" i="5" s="1"/>
  <c r="O673" i="5"/>
  <c r="G690" i="8"/>
  <c r="R690" i="8" s="1"/>
  <c r="G632" i="8"/>
  <c r="R632" i="8" s="1"/>
  <c r="G648" i="8"/>
  <c r="R648" i="8" s="1"/>
  <c r="G714" i="8"/>
  <c r="R714" i="8" s="1"/>
  <c r="G758" i="8"/>
  <c r="R758" i="8" s="1"/>
  <c r="G759" i="8"/>
  <c r="R759" i="8" s="1"/>
  <c r="G782" i="8"/>
  <c r="R782" i="8" s="1"/>
  <c r="G791" i="8"/>
  <c r="R791" i="8" s="1"/>
  <c r="R652" i="5"/>
  <c r="R651" i="5"/>
  <c r="H671" i="5"/>
  <c r="T671" i="5" s="1"/>
  <c r="O671" i="5"/>
  <c r="Z671" i="5"/>
  <c r="G685" i="8"/>
  <c r="R685" i="8" s="1"/>
  <c r="G679" i="8"/>
  <c r="R679" i="8" s="1"/>
  <c r="G686" i="8"/>
  <c r="R686" i="8" s="1"/>
  <c r="G673" i="8"/>
  <c r="R673" i="8" s="1"/>
  <c r="G725" i="8"/>
  <c r="R725" i="8" s="1"/>
  <c r="G746" i="8"/>
  <c r="R746" i="8" s="1"/>
  <c r="G757" i="8"/>
  <c r="R757" i="8" s="1"/>
  <c r="G770" i="8"/>
  <c r="R770" i="8" s="1"/>
  <c r="G748" i="8"/>
  <c r="R748" i="8" s="1"/>
  <c r="G781" i="8"/>
  <c r="R781" i="8" s="1"/>
  <c r="G710" i="8"/>
  <c r="R710" i="8" s="1"/>
  <c r="G754" i="8"/>
  <c r="R754" i="8" s="1"/>
  <c r="G785" i="8"/>
  <c r="R785" i="8" s="1"/>
  <c r="G697" i="8"/>
  <c r="R697" i="8" s="1"/>
  <c r="G722" i="8"/>
  <c r="R722" i="8" s="1"/>
  <c r="H639" i="5" l="1"/>
  <c r="T639" i="5" s="1"/>
  <c r="O639" i="5"/>
  <c r="Z639" i="5"/>
  <c r="E665" i="5" l="1"/>
  <c r="H665" i="5" s="1"/>
  <c r="E667" i="5"/>
  <c r="H667" i="5" s="1"/>
  <c r="T667" i="5" s="1"/>
  <c r="O665" i="5"/>
  <c r="T665" i="5"/>
  <c r="Z665" i="5"/>
  <c r="Z667" i="5"/>
  <c r="H669" i="5"/>
  <c r="T669" i="5" s="1"/>
  <c r="O669" i="5"/>
  <c r="Z669" i="5"/>
  <c r="H663" i="5"/>
  <c r="O663" i="5"/>
  <c r="T663" i="5"/>
  <c r="Z663" i="5"/>
  <c r="H664" i="5"/>
  <c r="O664" i="5"/>
  <c r="T664" i="5"/>
  <c r="Z664" i="5"/>
  <c r="W9" i="7"/>
  <c r="W8" i="7"/>
  <c r="W7" i="7"/>
  <c r="O667" i="5" l="1"/>
  <c r="W6" i="7"/>
  <c r="W13" i="7" s="1"/>
  <c r="C665" i="8"/>
  <c r="C668" i="8"/>
  <c r="C678" i="8"/>
  <c r="H654" i="5"/>
  <c r="T654" i="5" s="1"/>
  <c r="O654" i="5"/>
  <c r="Z654" i="5"/>
  <c r="H660" i="5"/>
  <c r="T660" i="5" s="1"/>
  <c r="O660" i="5"/>
  <c r="Z660" i="5"/>
  <c r="H650" i="5"/>
  <c r="T650" i="5" s="1"/>
  <c r="O650" i="5"/>
  <c r="Z650" i="5"/>
  <c r="H590" i="5"/>
  <c r="T590" i="5" s="1"/>
  <c r="O590" i="5"/>
  <c r="Z590" i="5"/>
  <c r="H638" i="5"/>
  <c r="T638" i="5" s="1"/>
  <c r="O638" i="5"/>
  <c r="Z638" i="5"/>
  <c r="H662" i="5"/>
  <c r="T662" i="5" s="1"/>
  <c r="O662" i="5"/>
  <c r="Z662" i="5"/>
  <c r="E636" i="5"/>
  <c r="G630" i="8"/>
  <c r="R630" i="8" s="1"/>
  <c r="G745" i="8"/>
  <c r="R745" i="8" s="1"/>
  <c r="G768" i="8"/>
  <c r="R768" i="8" s="1"/>
  <c r="G769" i="8"/>
  <c r="R769" i="8" s="1"/>
  <c r="G676" i="8"/>
  <c r="R676" i="8" s="1"/>
  <c r="G784" i="8"/>
  <c r="R784" i="8" s="1"/>
  <c r="G743" i="8"/>
  <c r="R743" i="8" s="1"/>
  <c r="G678" i="8"/>
  <c r="R678" i="8" s="1"/>
  <c r="G639" i="8"/>
  <c r="R639" i="8" s="1"/>
  <c r="H653" i="5"/>
  <c r="T653" i="5" s="1"/>
  <c r="O653" i="5"/>
  <c r="Z653" i="5"/>
  <c r="H640" i="5"/>
  <c r="T640" i="5" s="1"/>
  <c r="O640" i="5"/>
  <c r="Z640" i="5"/>
  <c r="G503" i="8"/>
  <c r="R503" i="8" s="1"/>
  <c r="G677" i="8"/>
  <c r="R677" i="8" s="1"/>
  <c r="G634" i="8"/>
  <c r="R634" i="8" s="1"/>
  <c r="G620" i="8"/>
  <c r="R620" i="8" s="1"/>
  <c r="G624" i="8"/>
  <c r="R624" i="8" s="1"/>
  <c r="G635" i="8"/>
  <c r="R635" i="8" s="1"/>
  <c r="G680" i="8"/>
  <c r="R680" i="8" s="1"/>
  <c r="G723" i="8"/>
  <c r="R723" i="8" s="1"/>
  <c r="G668" i="8"/>
  <c r="R668" i="8" s="1"/>
  <c r="G691" i="8"/>
  <c r="R691" i="8" s="1"/>
  <c r="H641" i="5"/>
  <c r="T641" i="5" s="1"/>
  <c r="O641" i="5"/>
  <c r="Z641" i="5"/>
  <c r="H655" i="5"/>
  <c r="O655" i="5"/>
  <c r="T655" i="5"/>
  <c r="Z655" i="5"/>
  <c r="H658" i="5" l="1"/>
  <c r="T658" i="5" s="1"/>
  <c r="O658" i="5"/>
  <c r="Z658" i="5"/>
  <c r="Z636" i="5"/>
  <c r="H573" i="5"/>
  <c r="H518" i="5"/>
  <c r="H436" i="5"/>
  <c r="H435" i="5"/>
  <c r="H356" i="5"/>
  <c r="H635" i="5"/>
  <c r="T635" i="5" s="1"/>
  <c r="Q574" i="5"/>
  <c r="Q573" i="5"/>
  <c r="O635" i="5"/>
  <c r="Z635" i="5"/>
  <c r="H656" i="5" l="1"/>
  <c r="T656" i="5" s="1"/>
  <c r="O656" i="5"/>
  <c r="Z656" i="5"/>
  <c r="H657" i="5"/>
  <c r="T657" i="5" s="1"/>
  <c r="O657" i="5"/>
  <c r="Z657" i="5"/>
  <c r="H647" i="5"/>
  <c r="T647" i="5" s="1"/>
  <c r="O647" i="5"/>
  <c r="Z647" i="5"/>
  <c r="H652" i="5"/>
  <c r="T652" i="5" s="1"/>
  <c r="O652" i="5"/>
  <c r="Z652" i="5"/>
  <c r="H651" i="5"/>
  <c r="T651" i="5" s="1"/>
  <c r="O651" i="5"/>
  <c r="Z651" i="5"/>
  <c r="H649" i="5"/>
  <c r="T649" i="5" s="1"/>
  <c r="O649" i="5"/>
  <c r="Z649" i="5"/>
  <c r="V13" i="7"/>
  <c r="H625" i="5"/>
  <c r="T625" i="5" s="1"/>
  <c r="O625" i="5"/>
  <c r="Z625" i="5"/>
  <c r="H633" i="5"/>
  <c r="T633" i="5" s="1"/>
  <c r="O633" i="5"/>
  <c r="Z633" i="5"/>
  <c r="H631" i="5"/>
  <c r="T631" i="5" s="1"/>
  <c r="O631" i="5"/>
  <c r="Z631" i="5"/>
  <c r="H637" i="5"/>
  <c r="T637" i="5" s="1"/>
  <c r="O637" i="5"/>
  <c r="Z637" i="5"/>
  <c r="H632" i="5"/>
  <c r="T632" i="5" s="1"/>
  <c r="O632" i="5"/>
  <c r="Z632" i="5"/>
  <c r="E622" i="5"/>
  <c r="H622" i="5" s="1"/>
  <c r="T622" i="5"/>
  <c r="Z622" i="5"/>
  <c r="E620" i="5"/>
  <c r="T620" i="5"/>
  <c r="Z620" i="5"/>
  <c r="G415" i="8"/>
  <c r="R415" i="8" s="1"/>
  <c r="G465" i="8"/>
  <c r="R465" i="8" s="1"/>
  <c r="G620" i="5" l="1"/>
  <c r="H620" i="5" s="1"/>
  <c r="O622" i="5"/>
  <c r="O620" i="5"/>
  <c r="B18" i="5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97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78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6" i="8"/>
  <c r="S417" i="8"/>
  <c r="S418" i="8"/>
  <c r="S419" i="8"/>
  <c r="S420" i="8"/>
  <c r="S421" i="8"/>
  <c r="S422" i="8"/>
  <c r="S423" i="8"/>
  <c r="S425" i="8"/>
  <c r="S426" i="8"/>
  <c r="S427" i="8"/>
  <c r="S428" i="8"/>
  <c r="S429" i="8"/>
  <c r="S430" i="8"/>
  <c r="S431" i="8"/>
  <c r="S432" i="8"/>
  <c r="S433" i="8"/>
  <c r="S434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S452" i="8"/>
  <c r="S453" i="8"/>
  <c r="S454" i="8"/>
  <c r="S455" i="8"/>
  <c r="S456" i="8"/>
  <c r="S458" i="8"/>
  <c r="S459" i="8"/>
  <c r="S460" i="8"/>
  <c r="S461" i="8"/>
  <c r="S462" i="8"/>
  <c r="S463" i="8"/>
  <c r="S464" i="8"/>
  <c r="S467" i="8"/>
  <c r="S468" i="8"/>
  <c r="S470" i="8"/>
  <c r="S471" i="8"/>
  <c r="S473" i="8"/>
  <c r="S474" i="8"/>
  <c r="S475" i="8"/>
  <c r="S476" i="8"/>
  <c r="S477" i="8"/>
  <c r="S478" i="8"/>
  <c r="S479" i="8"/>
  <c r="S480" i="8"/>
  <c r="S481" i="8"/>
  <c r="S482" i="8"/>
  <c r="S483" i="8"/>
  <c r="S484" i="8"/>
  <c r="S485" i="8"/>
  <c r="S487" i="8"/>
  <c r="S488" i="8"/>
  <c r="S489" i="8"/>
  <c r="S490" i="8"/>
  <c r="S491" i="8"/>
  <c r="S492" i="8"/>
  <c r="S494" i="8"/>
  <c r="S495" i="8"/>
  <c r="S469" i="8"/>
  <c r="S497" i="8"/>
  <c r="S498" i="8"/>
  <c r="S499" i="8"/>
  <c r="S500" i="8"/>
  <c r="S501" i="8"/>
  <c r="S502" i="8"/>
  <c r="S496" i="8"/>
  <c r="S504" i="8"/>
  <c r="S505" i="8"/>
  <c r="S506" i="8"/>
  <c r="S507" i="8"/>
  <c r="S508" i="8"/>
  <c r="S509" i="8"/>
  <c r="S510" i="8"/>
  <c r="S511" i="8"/>
  <c r="S513" i="8"/>
  <c r="S514" i="8"/>
  <c r="S516" i="8"/>
  <c r="S517" i="8"/>
  <c r="S518" i="8"/>
  <c r="S520" i="8"/>
  <c r="S521" i="8"/>
  <c r="S522" i="8"/>
  <c r="S523" i="8"/>
  <c r="S524" i="8"/>
  <c r="S525" i="8"/>
  <c r="S526" i="8"/>
  <c r="S527" i="8"/>
  <c r="S528" i="8"/>
  <c r="S529" i="8"/>
  <c r="S531" i="8"/>
  <c r="S532" i="8"/>
  <c r="S533" i="8"/>
  <c r="S534" i="8"/>
  <c r="S535" i="8"/>
  <c r="S536" i="8"/>
  <c r="S537" i="8"/>
  <c r="S538" i="8"/>
  <c r="S539" i="8"/>
  <c r="S543" i="8"/>
  <c r="S546" i="8"/>
  <c r="S547" i="8"/>
  <c r="S548" i="8"/>
  <c r="S549" i="8"/>
  <c r="S550" i="8"/>
  <c r="S551" i="8"/>
  <c r="S553" i="8"/>
  <c r="S554" i="8"/>
  <c r="S555" i="8"/>
  <c r="S557" i="8"/>
  <c r="S558" i="8"/>
  <c r="S559" i="8"/>
  <c r="S561" i="8"/>
  <c r="S562" i="8"/>
  <c r="S563" i="8"/>
  <c r="S565" i="8"/>
  <c r="S566" i="8"/>
  <c r="S567" i="8"/>
  <c r="S568" i="8"/>
  <c r="S569" i="8"/>
  <c r="S570" i="8"/>
  <c r="S571" i="8"/>
  <c r="S572" i="8"/>
  <c r="S573" i="8"/>
  <c r="S577" i="8"/>
  <c r="S578" i="8"/>
  <c r="S579" i="8"/>
  <c r="S580" i="8"/>
  <c r="S582" i="8"/>
  <c r="S584" i="8"/>
  <c r="S585" i="8"/>
  <c r="S586" i="8"/>
  <c r="S588" i="8"/>
  <c r="S589" i="8"/>
  <c r="S592" i="8"/>
  <c r="S593" i="8"/>
  <c r="S595" i="8"/>
  <c r="S596" i="8"/>
  <c r="S598" i="8"/>
  <c r="S600" i="8"/>
  <c r="S602" i="8"/>
  <c r="S603" i="8"/>
  <c r="S605" i="8"/>
  <c r="S613" i="8"/>
  <c r="S614" i="8"/>
  <c r="S617" i="8"/>
  <c r="S618" i="8"/>
  <c r="S625" i="8"/>
  <c r="S636" i="8"/>
  <c r="H619" i="5"/>
  <c r="T619" i="5" s="1"/>
  <c r="O619" i="5"/>
  <c r="Z619" i="5"/>
  <c r="H629" i="5"/>
  <c r="T629" i="5" s="1"/>
  <c r="O629" i="5"/>
  <c r="Z629" i="5"/>
  <c r="G626" i="8"/>
  <c r="R626" i="8" s="1"/>
  <c r="H648" i="5"/>
  <c r="O648" i="5"/>
  <c r="T648" i="5"/>
  <c r="Z648" i="5"/>
  <c r="H568" i="5"/>
  <c r="T568" i="5" s="1"/>
  <c r="O568" i="5"/>
  <c r="Z568" i="5"/>
  <c r="H624" i="5"/>
  <c r="T624" i="5" s="1"/>
  <c r="O624" i="5"/>
  <c r="Z624" i="5"/>
  <c r="H679" i="5"/>
  <c r="T679" i="5" s="1"/>
  <c r="O679" i="5"/>
  <c r="Z679" i="5"/>
  <c r="H682" i="5"/>
  <c r="T682" i="5" s="1"/>
  <c r="O682" i="5"/>
  <c r="Z682" i="5"/>
  <c r="E621" i="5"/>
  <c r="H621" i="5" s="1"/>
  <c r="T621" i="5" s="1"/>
  <c r="Z621" i="5"/>
  <c r="E623" i="5"/>
  <c r="H623" i="5" s="1"/>
  <c r="T623" i="5" s="1"/>
  <c r="Z623" i="5"/>
  <c r="H626" i="5"/>
  <c r="T626" i="5" s="1"/>
  <c r="O626" i="5"/>
  <c r="Z626" i="5"/>
  <c r="G719" i="8"/>
  <c r="R719" i="8" s="1"/>
  <c r="G622" i="8"/>
  <c r="R622" i="8" s="1"/>
  <c r="G623" i="8"/>
  <c r="R623" i="8" s="1"/>
  <c r="G700" i="8"/>
  <c r="R700" i="8" s="1"/>
  <c r="G701" i="8"/>
  <c r="R701" i="8" s="1"/>
  <c r="G670" i="8"/>
  <c r="R670" i="8" s="1"/>
  <c r="G721" i="8"/>
  <c r="R721" i="8" s="1"/>
  <c r="G674" i="8"/>
  <c r="R674" i="8" s="1"/>
  <c r="G744" i="8"/>
  <c r="R744" i="8" s="1"/>
  <c r="G646" i="8"/>
  <c r="R646" i="8" s="1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97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78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792" i="8"/>
  <c r="G416" i="8"/>
  <c r="G417" i="8"/>
  <c r="G418" i="8"/>
  <c r="G419" i="8"/>
  <c r="G420" i="8"/>
  <c r="G421" i="8"/>
  <c r="G422" i="8"/>
  <c r="G423" i="8"/>
  <c r="G583" i="8"/>
  <c r="G425" i="8"/>
  <c r="G426" i="8"/>
  <c r="G427" i="8"/>
  <c r="G428" i="8"/>
  <c r="G429" i="8"/>
  <c r="G430" i="8"/>
  <c r="G431" i="8"/>
  <c r="G432" i="8"/>
  <c r="G433" i="8"/>
  <c r="G434" i="8"/>
  <c r="G610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647" i="8"/>
  <c r="G458" i="8"/>
  <c r="G459" i="8"/>
  <c r="G460" i="8"/>
  <c r="G461" i="8"/>
  <c r="G462" i="8"/>
  <c r="G463" i="8"/>
  <c r="G464" i="8"/>
  <c r="G621" i="8"/>
  <c r="G466" i="8"/>
  <c r="G467" i="8"/>
  <c r="G468" i="8"/>
  <c r="G662" i="8"/>
  <c r="G470" i="8"/>
  <c r="G471" i="8"/>
  <c r="G64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640" i="8"/>
  <c r="G487" i="8"/>
  <c r="G488" i="8"/>
  <c r="G489" i="8"/>
  <c r="G490" i="8"/>
  <c r="G491" i="8"/>
  <c r="G492" i="8"/>
  <c r="G663" i="8"/>
  <c r="G494" i="8"/>
  <c r="G495" i="8"/>
  <c r="G469" i="8"/>
  <c r="G497" i="8"/>
  <c r="G498" i="8"/>
  <c r="G499" i="8"/>
  <c r="G500" i="8"/>
  <c r="G501" i="8"/>
  <c r="G502" i="8"/>
  <c r="G496" i="8"/>
  <c r="G504" i="8"/>
  <c r="G505" i="8"/>
  <c r="G506" i="8"/>
  <c r="G507" i="8"/>
  <c r="G508" i="8"/>
  <c r="G509" i="8"/>
  <c r="G510" i="8"/>
  <c r="G511" i="8"/>
  <c r="G493" i="8"/>
  <c r="G513" i="8"/>
  <c r="G514" i="8"/>
  <c r="G512" i="8"/>
  <c r="G516" i="8"/>
  <c r="G517" i="8"/>
  <c r="G518" i="8"/>
  <c r="G601" i="8"/>
  <c r="G520" i="8"/>
  <c r="G521" i="8"/>
  <c r="G522" i="8"/>
  <c r="G523" i="8"/>
  <c r="G524" i="8"/>
  <c r="G525" i="8"/>
  <c r="G526" i="8"/>
  <c r="G527" i="8"/>
  <c r="G528" i="8"/>
  <c r="G529" i="8"/>
  <c r="G664" i="8"/>
  <c r="G531" i="8"/>
  <c r="G532" i="8"/>
  <c r="G533" i="8"/>
  <c r="G534" i="8"/>
  <c r="G535" i="8"/>
  <c r="G536" i="8"/>
  <c r="G537" i="8"/>
  <c r="G538" i="8"/>
  <c r="G539" i="8"/>
  <c r="G515" i="8"/>
  <c r="G486" i="8"/>
  <c r="G611" i="8"/>
  <c r="G543" i="8"/>
  <c r="G542" i="8"/>
  <c r="G641" i="8"/>
  <c r="G546" i="8"/>
  <c r="G547" i="8"/>
  <c r="G548" i="8"/>
  <c r="G549" i="8"/>
  <c r="G550" i="8"/>
  <c r="G551" i="8"/>
  <c r="G530" i="8"/>
  <c r="G553" i="8"/>
  <c r="G554" i="8"/>
  <c r="G555" i="8"/>
  <c r="G655" i="8"/>
  <c r="G557" i="8"/>
  <c r="G558" i="8"/>
  <c r="G559" i="8"/>
  <c r="G656" i="8"/>
  <c r="G561" i="8"/>
  <c r="G562" i="8"/>
  <c r="G563" i="8"/>
  <c r="G544" i="8"/>
  <c r="G565" i="8"/>
  <c r="G566" i="8"/>
  <c r="G567" i="8"/>
  <c r="G568" i="8"/>
  <c r="G569" i="8"/>
  <c r="G570" i="8"/>
  <c r="G571" i="8"/>
  <c r="G572" i="8"/>
  <c r="G573" i="8"/>
  <c r="G665" i="8"/>
  <c r="G519" i="8"/>
  <c r="G577" i="8"/>
  <c r="G578" i="8"/>
  <c r="G579" i="8"/>
  <c r="G580" i="8"/>
  <c r="G651" i="8"/>
  <c r="G582" i="8"/>
  <c r="G658" i="8"/>
  <c r="G584" i="8"/>
  <c r="G585" i="8"/>
  <c r="G586" i="8"/>
  <c r="G755" i="8"/>
  <c r="G588" i="8"/>
  <c r="G589" i="8"/>
  <c r="G681" i="8"/>
  <c r="G643" i="8"/>
  <c r="G592" i="8"/>
  <c r="G593" i="8"/>
  <c r="G666" i="8"/>
  <c r="G595" i="8"/>
  <c r="G596" i="8"/>
  <c r="G628" i="8"/>
  <c r="G598" i="8"/>
  <c r="G653" i="8"/>
  <c r="G600" i="8"/>
  <c r="G667" i="8"/>
  <c r="G602" i="8"/>
  <c r="G603" i="8"/>
  <c r="G657" i="8"/>
  <c r="G605" i="8"/>
  <c r="G604" i="8"/>
  <c r="G731" i="8"/>
  <c r="G724" i="8"/>
  <c r="G545" i="8"/>
  <c r="G609" i="8"/>
  <c r="G765" i="8"/>
  <c r="G435" i="8"/>
  <c r="G613" i="8"/>
  <c r="G614" i="8"/>
  <c r="G612" i="8"/>
  <c r="G615" i="8"/>
  <c r="G617" i="8"/>
  <c r="G618" i="8"/>
  <c r="G732" i="8"/>
  <c r="G587" i="8"/>
  <c r="R587" i="8" s="1"/>
  <c r="G713" i="8"/>
  <c r="R713" i="8" s="1"/>
  <c r="G629" i="8"/>
  <c r="R629" i="8" s="1"/>
  <c r="G699" i="8"/>
  <c r="R699" i="8" s="1"/>
  <c r="G590" i="8"/>
  <c r="R590" i="8" s="1"/>
  <c r="G625" i="8"/>
  <c r="R625" i="8" s="1"/>
  <c r="G649" i="8"/>
  <c r="R649" i="8" s="1"/>
  <c r="G728" i="8"/>
  <c r="R728" i="8" s="1"/>
  <c r="G729" i="8"/>
  <c r="R729" i="8" s="1"/>
  <c r="G730" i="8"/>
  <c r="R730" i="8" s="1"/>
  <c r="G733" i="8"/>
  <c r="R733" i="8" s="1"/>
  <c r="G734" i="8"/>
  <c r="R734" i="8" s="1"/>
  <c r="G717" i="8"/>
  <c r="R717" i="8" s="1"/>
  <c r="G576" i="8"/>
  <c r="R576" i="8" s="1"/>
  <c r="G607" i="8"/>
  <c r="R607" i="8" s="1"/>
  <c r="G606" i="8"/>
  <c r="R606" i="8" s="1"/>
  <c r="G636" i="8"/>
  <c r="R636" i="8" s="1"/>
  <c r="G660" i="8"/>
  <c r="R660" i="8" s="1"/>
  <c r="G581" i="8"/>
  <c r="R581" i="8" s="1"/>
  <c r="G682" i="8"/>
  <c r="R682" i="8" s="1"/>
  <c r="G684" i="8"/>
  <c r="R684" i="8" s="1"/>
  <c r="G687" i="8"/>
  <c r="R687" i="8" s="1"/>
  <c r="G702" i="8"/>
  <c r="R702" i="8" s="1"/>
  <c r="G659" i="8"/>
  <c r="R659" i="8" s="1"/>
  <c r="G661" i="8"/>
  <c r="R661" i="8" s="1"/>
  <c r="G608" i="8"/>
  <c r="R608" i="8" s="1"/>
  <c r="G654" i="8"/>
  <c r="R654" i="8" s="1"/>
  <c r="G709" i="8"/>
  <c r="R709" i="8" s="1"/>
  <c r="G711" i="8"/>
  <c r="R711" i="8" s="1"/>
  <c r="G638" i="8"/>
  <c r="R638" i="8" s="1"/>
  <c r="G591" i="8"/>
  <c r="R591" i="8" s="1"/>
  <c r="G616" i="8"/>
  <c r="R616" i="8" s="1"/>
  <c r="G742" i="8"/>
  <c r="R742" i="8" s="1"/>
  <c r="G631" i="8"/>
  <c r="R631" i="8" s="1"/>
  <c r="F156" i="8"/>
  <c r="E610" i="5"/>
  <c r="H612" i="5"/>
  <c r="T612" i="5" s="1"/>
  <c r="O612" i="5"/>
  <c r="Z612" i="5"/>
  <c r="Z610" i="5"/>
  <c r="H617" i="5"/>
  <c r="T617" i="5" s="1"/>
  <c r="O617" i="5"/>
  <c r="Z617" i="5"/>
  <c r="H616" i="5"/>
  <c r="T616" i="5" s="1"/>
  <c r="O616" i="5"/>
  <c r="Z616" i="5"/>
  <c r="H618" i="5"/>
  <c r="T618" i="5" s="1"/>
  <c r="O618" i="5"/>
  <c r="Z618" i="5"/>
  <c r="E681" i="5"/>
  <c r="H681" i="5" s="1"/>
  <c r="T681" i="5" s="1"/>
  <c r="Z681" i="5"/>
  <c r="B9" i="10"/>
  <c r="H598" i="5"/>
  <c r="T598" i="5" s="1"/>
  <c r="O598" i="5"/>
  <c r="Z598" i="5"/>
  <c r="H608" i="5"/>
  <c r="T608" i="5" s="1"/>
  <c r="O608" i="5"/>
  <c r="Z608" i="5"/>
  <c r="Z578" i="5"/>
  <c r="O578" i="5"/>
  <c r="H578" i="5"/>
  <c r="T578" i="5" s="1"/>
  <c r="H609" i="5"/>
  <c r="T609" i="5" s="1"/>
  <c r="O609" i="5"/>
  <c r="Z609" i="5"/>
  <c r="E675" i="5"/>
  <c r="Z675" i="5"/>
  <c r="C625" i="8"/>
  <c r="H610" i="5" l="1"/>
  <c r="T610" i="5" s="1"/>
  <c r="H675" i="5"/>
  <c r="T675" i="5" s="1"/>
  <c r="H636" i="5"/>
  <c r="T636" i="5" s="1"/>
  <c r="O636" i="5"/>
  <c r="O621" i="5"/>
  <c r="O623" i="5"/>
  <c r="O610" i="5"/>
  <c r="O681" i="5"/>
  <c r="O675" i="5"/>
  <c r="H606" i="5"/>
  <c r="T606" i="5" s="1"/>
  <c r="O606" i="5"/>
  <c r="Z606" i="5"/>
  <c r="H605" i="5"/>
  <c r="T605" i="5" s="1"/>
  <c r="O605" i="5"/>
  <c r="Z605" i="5"/>
  <c r="H601" i="5"/>
  <c r="T601" i="5" s="1"/>
  <c r="O601" i="5"/>
  <c r="Z601" i="5"/>
  <c r="H604" i="5"/>
  <c r="T604" i="5" s="1"/>
  <c r="O604" i="5"/>
  <c r="Z604" i="5"/>
  <c r="H607" i="5"/>
  <c r="O607" i="5"/>
  <c r="T607" i="5"/>
  <c r="Z607" i="5"/>
  <c r="U13" i="7"/>
  <c r="R435" i="8"/>
  <c r="R732" i="8"/>
  <c r="R612" i="8"/>
  <c r="R615" i="8"/>
  <c r="R609" i="8"/>
  <c r="E527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195" i="5"/>
  <c r="Z196" i="5"/>
  <c r="Z197" i="5"/>
  <c r="Z199" i="5"/>
  <c r="Z200" i="5"/>
  <c r="Z198" i="5"/>
  <c r="Z201" i="5"/>
  <c r="Z202" i="5"/>
  <c r="Z203" i="5"/>
  <c r="Z204" i="5"/>
  <c r="Z205" i="5"/>
  <c r="Z206" i="5"/>
  <c r="Z207" i="5"/>
  <c r="Z208" i="5"/>
  <c r="Z209" i="5"/>
  <c r="Z210" i="5"/>
  <c r="Z211" i="5"/>
  <c r="Z212" i="5"/>
  <c r="Z213" i="5"/>
  <c r="Z214" i="5"/>
  <c r="Z215" i="5"/>
  <c r="Z216" i="5"/>
  <c r="Z217" i="5"/>
  <c r="Z218" i="5"/>
  <c r="Z219" i="5"/>
  <c r="Z220" i="5"/>
  <c r="Z221" i="5"/>
  <c r="Z222" i="5"/>
  <c r="Z223" i="5"/>
  <c r="Z224" i="5"/>
  <c r="Z225" i="5"/>
  <c r="Z226" i="5"/>
  <c r="Z227" i="5"/>
  <c r="Z228" i="5"/>
  <c r="Z229" i="5"/>
  <c r="Z230" i="5"/>
  <c r="Z231" i="5"/>
  <c r="Z232" i="5"/>
  <c r="Z233" i="5"/>
  <c r="Z234" i="5"/>
  <c r="Z235" i="5"/>
  <c r="Z236" i="5"/>
  <c r="Z237" i="5"/>
  <c r="Z238" i="5"/>
  <c r="Z239" i="5"/>
  <c r="Z240" i="5"/>
  <c r="Z241" i="5"/>
  <c r="Z242" i="5"/>
  <c r="Z243" i="5"/>
  <c r="Z244" i="5"/>
  <c r="Z245" i="5"/>
  <c r="Z246" i="5"/>
  <c r="Z247" i="5"/>
  <c r="Z248" i="5"/>
  <c r="Z249" i="5"/>
  <c r="Z250" i="5"/>
  <c r="Z251" i="5"/>
  <c r="Z252" i="5"/>
  <c r="Z253" i="5"/>
  <c r="Z254" i="5"/>
  <c r="Z255" i="5"/>
  <c r="Z256" i="5"/>
  <c r="Z257" i="5"/>
  <c r="Z258" i="5"/>
  <c r="Z259" i="5"/>
  <c r="Z260" i="5"/>
  <c r="Z261" i="5"/>
  <c r="Z262" i="5"/>
  <c r="Z263" i="5"/>
  <c r="Z264" i="5"/>
  <c r="Z265" i="5"/>
  <c r="Z266" i="5"/>
  <c r="Z267" i="5"/>
  <c r="Z268" i="5"/>
  <c r="Z269" i="5"/>
  <c r="Z270" i="5"/>
  <c r="Z271" i="5"/>
  <c r="Z272" i="5"/>
  <c r="Z273" i="5"/>
  <c r="Z274" i="5"/>
  <c r="Z275" i="5"/>
  <c r="Z276" i="5"/>
  <c r="Z277" i="5"/>
  <c r="Z278" i="5"/>
  <c r="Z279" i="5"/>
  <c r="Z280" i="5"/>
  <c r="Z281" i="5"/>
  <c r="Z282" i="5"/>
  <c r="Z283" i="5"/>
  <c r="Z284" i="5"/>
  <c r="Z285" i="5"/>
  <c r="Z286" i="5"/>
  <c r="Z287" i="5"/>
  <c r="Z288" i="5"/>
  <c r="Z289" i="5"/>
  <c r="Z290" i="5"/>
  <c r="Z291" i="5"/>
  <c r="Z292" i="5"/>
  <c r="Z293" i="5"/>
  <c r="Z294" i="5"/>
  <c r="Z295" i="5"/>
  <c r="Z296" i="5"/>
  <c r="Z297" i="5"/>
  <c r="Z298" i="5"/>
  <c r="Z299" i="5"/>
  <c r="Z300" i="5"/>
  <c r="Z301" i="5"/>
  <c r="Z302" i="5"/>
  <c r="Z303" i="5"/>
  <c r="Z304" i="5"/>
  <c r="Z305" i="5"/>
  <c r="Z306" i="5"/>
  <c r="Z307" i="5"/>
  <c r="Z308" i="5"/>
  <c r="Z309" i="5"/>
  <c r="Z310" i="5"/>
  <c r="Z311" i="5"/>
  <c r="Z312" i="5"/>
  <c r="Z313" i="5"/>
  <c r="Z314" i="5"/>
  <c r="Z315" i="5"/>
  <c r="Z316" i="5"/>
  <c r="Z317" i="5"/>
  <c r="Z318" i="5"/>
  <c r="Z319" i="5"/>
  <c r="Z320" i="5"/>
  <c r="Z321" i="5"/>
  <c r="Z322" i="5"/>
  <c r="Z323" i="5"/>
  <c r="Z324" i="5"/>
  <c r="Z325" i="5"/>
  <c r="Z326" i="5"/>
  <c r="Z327" i="5"/>
  <c r="Z328" i="5"/>
  <c r="Z329" i="5"/>
  <c r="Z330" i="5"/>
  <c r="Z331" i="5"/>
  <c r="Z332" i="5"/>
  <c r="Z333" i="5"/>
  <c r="Z334" i="5"/>
  <c r="Z335" i="5"/>
  <c r="Z336" i="5"/>
  <c r="Z337" i="5"/>
  <c r="Z338" i="5"/>
  <c r="Z339" i="5"/>
  <c r="Z340" i="5"/>
  <c r="Z341" i="5"/>
  <c r="Z342" i="5"/>
  <c r="Z343" i="5"/>
  <c r="Z344" i="5"/>
  <c r="Z345" i="5"/>
  <c r="Z346" i="5"/>
  <c r="Z347" i="5"/>
  <c r="Z348" i="5"/>
  <c r="Z349" i="5"/>
  <c r="Z350" i="5"/>
  <c r="Z351" i="5"/>
  <c r="Z352" i="5"/>
  <c r="Z353" i="5"/>
  <c r="Z354" i="5"/>
  <c r="Z355" i="5"/>
  <c r="Z356" i="5"/>
  <c r="Z357" i="5"/>
  <c r="Z358" i="5"/>
  <c r="Z359" i="5"/>
  <c r="Z360" i="5"/>
  <c r="Z361" i="5"/>
  <c r="Z362" i="5"/>
  <c r="Z363" i="5"/>
  <c r="Z364" i="5"/>
  <c r="Z365" i="5"/>
  <c r="Z366" i="5"/>
  <c r="Z367" i="5"/>
  <c r="Z368" i="5"/>
  <c r="Z369" i="5"/>
  <c r="Z370" i="5"/>
  <c r="Z371" i="5"/>
  <c r="Z372" i="5"/>
  <c r="Z373" i="5"/>
  <c r="Z374" i="5"/>
  <c r="Z375" i="5"/>
  <c r="Z376" i="5"/>
  <c r="Z377" i="5"/>
  <c r="Z378" i="5"/>
  <c r="Z379" i="5"/>
  <c r="Z380" i="5"/>
  <c r="Z381" i="5"/>
  <c r="Z382" i="5"/>
  <c r="Z383" i="5"/>
  <c r="Z384" i="5"/>
  <c r="Z385" i="5"/>
  <c r="Z386" i="5"/>
  <c r="Z387" i="5"/>
  <c r="Z388" i="5"/>
  <c r="Z389" i="5"/>
  <c r="Z390" i="5"/>
  <c r="Z391" i="5"/>
  <c r="Z392" i="5"/>
  <c r="Z393" i="5"/>
  <c r="Z394" i="5"/>
  <c r="Z395" i="5"/>
  <c r="Z396" i="5"/>
  <c r="Z397" i="5"/>
  <c r="Z398" i="5"/>
  <c r="Z399" i="5"/>
  <c r="Z400" i="5"/>
  <c r="Z401" i="5"/>
  <c r="Z402" i="5"/>
  <c r="Z403" i="5"/>
  <c r="Z404" i="5"/>
  <c r="Z405" i="5"/>
  <c r="Z406" i="5"/>
  <c r="Z407" i="5"/>
  <c r="Z408" i="5"/>
  <c r="Z409" i="5"/>
  <c r="Z410" i="5"/>
  <c r="Z411" i="5"/>
  <c r="Z412" i="5"/>
  <c r="Z413" i="5"/>
  <c r="Z414" i="5"/>
  <c r="Z415" i="5"/>
  <c r="Z416" i="5"/>
  <c r="Z417" i="5"/>
  <c r="Z418" i="5"/>
  <c r="Z419" i="5"/>
  <c r="Z420" i="5"/>
  <c r="Z421" i="5"/>
  <c r="Z422" i="5"/>
  <c r="Z423" i="5"/>
  <c r="Z424" i="5"/>
  <c r="Z425" i="5"/>
  <c r="Z426" i="5"/>
  <c r="Z427" i="5"/>
  <c r="Z428" i="5"/>
  <c r="Z627" i="5"/>
  <c r="Z429" i="5"/>
  <c r="Z628" i="5"/>
  <c r="Z430" i="5"/>
  <c r="Z431" i="5"/>
  <c r="Z432" i="5"/>
  <c r="Z433" i="5"/>
  <c r="Z434" i="5"/>
  <c r="Z435" i="5"/>
  <c r="Z436" i="5"/>
  <c r="Z437" i="5"/>
  <c r="Z438" i="5"/>
  <c r="Z439" i="5"/>
  <c r="Z440" i="5"/>
  <c r="Z441" i="5"/>
  <c r="Z442" i="5"/>
  <c r="Z443" i="5"/>
  <c r="Z444" i="5"/>
  <c r="Z445" i="5"/>
  <c r="Z446" i="5"/>
  <c r="Z447" i="5"/>
  <c r="Z448" i="5"/>
  <c r="Z449" i="5"/>
  <c r="Z450" i="5"/>
  <c r="Z451" i="5"/>
  <c r="Z452" i="5"/>
  <c r="Z453" i="5"/>
  <c r="Z454" i="5"/>
  <c r="Z455" i="5"/>
  <c r="Z456" i="5"/>
  <c r="Z457" i="5"/>
  <c r="Z458" i="5"/>
  <c r="Z459" i="5"/>
  <c r="Z460" i="5"/>
  <c r="Z461" i="5"/>
  <c r="Z462" i="5"/>
  <c r="Z463" i="5"/>
  <c r="Z464" i="5"/>
  <c r="Z465" i="5"/>
  <c r="Z466" i="5"/>
  <c r="Z467" i="5"/>
  <c r="Z468" i="5"/>
  <c r="Z469" i="5"/>
  <c r="Z470" i="5"/>
  <c r="Z471" i="5"/>
  <c r="Z472" i="5"/>
  <c r="Z473" i="5"/>
  <c r="Z474" i="5"/>
  <c r="Z475" i="5"/>
  <c r="Z476" i="5"/>
  <c r="Z477" i="5"/>
  <c r="Z478" i="5"/>
  <c r="Z479" i="5"/>
  <c r="Z480" i="5"/>
  <c r="Z481" i="5"/>
  <c r="Z482" i="5"/>
  <c r="Z483" i="5"/>
  <c r="Z484" i="5"/>
  <c r="Z485" i="5"/>
  <c r="Z486" i="5"/>
  <c r="Z487" i="5"/>
  <c r="Z488" i="5"/>
  <c r="Z489" i="5"/>
  <c r="Z490" i="5"/>
  <c r="Z491" i="5"/>
  <c r="Z492" i="5"/>
  <c r="Z495" i="5"/>
  <c r="Z496" i="5"/>
  <c r="Z497" i="5"/>
  <c r="Z498" i="5"/>
  <c r="Z499" i="5"/>
  <c r="Z500" i="5"/>
  <c r="Z501" i="5"/>
  <c r="Z502" i="5"/>
  <c r="Z503" i="5"/>
  <c r="Z504" i="5"/>
  <c r="Z505" i="5"/>
  <c r="Z506" i="5"/>
  <c r="Z507" i="5"/>
  <c r="Z508" i="5"/>
  <c r="Z509" i="5"/>
  <c r="Z510" i="5"/>
  <c r="Z511" i="5"/>
  <c r="Z512" i="5"/>
  <c r="Z513" i="5"/>
  <c r="Z514" i="5"/>
  <c r="Z515" i="5"/>
  <c r="Z516" i="5"/>
  <c r="Z517" i="5"/>
  <c r="Z520" i="5"/>
  <c r="Z521" i="5"/>
  <c r="Z522" i="5"/>
  <c r="Z523" i="5"/>
  <c r="Z524" i="5"/>
  <c r="Z525" i="5"/>
  <c r="Z518" i="5"/>
  <c r="Z519" i="5"/>
  <c r="Z526" i="5"/>
  <c r="Z527" i="5"/>
  <c r="Z528" i="5"/>
  <c r="Z530" i="5"/>
  <c r="Z531" i="5"/>
  <c r="Z532" i="5"/>
  <c r="Z533" i="5"/>
  <c r="Z534" i="5"/>
  <c r="Z535" i="5"/>
  <c r="Z536" i="5"/>
  <c r="Z537" i="5"/>
  <c r="Z529" i="5"/>
  <c r="Z538" i="5"/>
  <c r="Z539" i="5"/>
  <c r="Z540" i="5"/>
  <c r="Z542" i="5"/>
  <c r="Z543" i="5"/>
  <c r="Z541" i="5"/>
  <c r="Z544" i="5"/>
  <c r="Z545" i="5"/>
  <c r="Z546" i="5"/>
  <c r="Z547" i="5"/>
  <c r="Z549" i="5"/>
  <c r="Z548" i="5"/>
  <c r="Z677" i="5"/>
  <c r="Z551" i="5"/>
  <c r="Z552" i="5"/>
  <c r="Z554" i="5"/>
  <c r="Z553" i="5"/>
  <c r="Z555" i="5"/>
  <c r="Z556" i="5"/>
  <c r="Z557" i="5"/>
  <c r="Z558" i="5"/>
  <c r="Z559" i="5"/>
  <c r="Z560" i="5"/>
  <c r="Z561" i="5"/>
  <c r="Z562" i="5"/>
  <c r="Z563" i="5"/>
  <c r="Z564" i="5"/>
  <c r="Z565" i="5"/>
  <c r="Z566" i="5"/>
  <c r="Z567" i="5"/>
  <c r="Z569" i="5"/>
  <c r="Z570" i="5"/>
  <c r="Z571" i="5"/>
  <c r="Z572" i="5"/>
  <c r="Z579" i="5"/>
  <c r="Z580" i="5"/>
  <c r="Z581" i="5"/>
  <c r="Z575" i="5"/>
  <c r="Z573" i="5"/>
  <c r="Z574" i="5"/>
  <c r="Z577" i="5"/>
  <c r="Z576" i="5"/>
  <c r="Z586" i="5"/>
  <c r="Z582" i="5"/>
  <c r="Z583" i="5"/>
  <c r="Z584" i="5"/>
  <c r="Z585" i="5"/>
  <c r="Z591" i="5"/>
  <c r="Z588" i="5"/>
  <c r="Z587" i="5"/>
  <c r="Z550" i="5"/>
  <c r="Z603" i="5"/>
  <c r="Z589" i="5"/>
  <c r="Z592" i="5"/>
  <c r="Z593" i="5"/>
  <c r="Z594" i="5"/>
  <c r="Z595" i="5"/>
  <c r="Z596" i="5"/>
  <c r="Z597" i="5"/>
  <c r="Z645" i="5"/>
  <c r="Z643" i="5"/>
  <c r="Z644" i="5"/>
  <c r="Z705" i="5"/>
  <c r="Z704" i="5"/>
  <c r="Z706" i="5"/>
  <c r="Z745" i="5"/>
  <c r="Z746" i="5"/>
  <c r="Z747" i="5"/>
  <c r="Z493" i="5"/>
  <c r="Z494" i="5"/>
  <c r="Z599" i="5"/>
  <c r="Z600" i="5"/>
  <c r="Z22" i="5"/>
  <c r="E574" i="5" l="1"/>
  <c r="H574" i="5" s="1"/>
  <c r="O573" i="5"/>
  <c r="T573" i="5"/>
  <c r="E519" i="5"/>
  <c r="O518" i="5"/>
  <c r="T518" i="5"/>
  <c r="H519" i="5" l="1"/>
  <c r="H600" i="5"/>
  <c r="T600" i="5" s="1"/>
  <c r="O600" i="5"/>
  <c r="H599" i="5"/>
  <c r="O599" i="5"/>
  <c r="T599" i="5"/>
  <c r="H494" i="5"/>
  <c r="O494" i="5"/>
  <c r="T494" i="5"/>
  <c r="H493" i="5"/>
  <c r="O493" i="5"/>
  <c r="T493" i="5"/>
  <c r="H576" i="5"/>
  <c r="T576" i="5" s="1"/>
  <c r="O576" i="5"/>
  <c r="E597" i="5"/>
  <c r="H597" i="5" s="1"/>
  <c r="T597" i="5" s="1"/>
  <c r="E593" i="5"/>
  <c r="H593" i="5" s="1"/>
  <c r="T593" i="5" s="1"/>
  <c r="H596" i="5"/>
  <c r="T596" i="5" s="1"/>
  <c r="O596" i="5"/>
  <c r="H577" i="5"/>
  <c r="T577" i="5" s="1"/>
  <c r="O577" i="5"/>
  <c r="T574" i="5"/>
  <c r="O574" i="5"/>
  <c r="T519" i="5"/>
  <c r="O519" i="5"/>
  <c r="R614" i="8"/>
  <c r="R765" i="8"/>
  <c r="R545" i="8"/>
  <c r="R657" i="8"/>
  <c r="R604" i="8"/>
  <c r="R731" i="8"/>
  <c r="R724" i="8"/>
  <c r="H589" i="5"/>
  <c r="T589" i="5" s="1"/>
  <c r="O589" i="5"/>
  <c r="H585" i="5"/>
  <c r="T585" i="5" s="1"/>
  <c r="O585" i="5"/>
  <c r="H592" i="5"/>
  <c r="T592" i="5" s="1"/>
  <c r="O592" i="5"/>
  <c r="H595" i="5"/>
  <c r="T595" i="5" s="1"/>
  <c r="O595" i="5"/>
  <c r="R603" i="8"/>
  <c r="C422" i="8"/>
  <c r="C423" i="8"/>
  <c r="C425" i="8"/>
  <c r="C426" i="8"/>
  <c r="C427" i="8"/>
  <c r="C428" i="8"/>
  <c r="C429" i="8"/>
  <c r="C437" i="8"/>
  <c r="C441" i="8"/>
  <c r="C432" i="8"/>
  <c r="C433" i="8"/>
  <c r="C434" i="8"/>
  <c r="C436" i="8"/>
  <c r="C438" i="8"/>
  <c r="C439" i="8"/>
  <c r="C440" i="8"/>
  <c r="C456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379" i="8"/>
  <c r="C458" i="8"/>
  <c r="C459" i="8"/>
  <c r="C460" i="8"/>
  <c r="C461" i="8"/>
  <c r="C462" i="8"/>
  <c r="C463" i="8"/>
  <c r="C464" i="8"/>
  <c r="C467" i="8"/>
  <c r="C468" i="8"/>
  <c r="C470" i="8"/>
  <c r="C475" i="8"/>
  <c r="C473" i="8"/>
  <c r="C474" i="8"/>
  <c r="C476" i="8"/>
  <c r="C431" i="8"/>
  <c r="C478" i="8"/>
  <c r="C479" i="8"/>
  <c r="C480" i="8"/>
  <c r="C482" i="8"/>
  <c r="C483" i="8"/>
  <c r="C484" i="8"/>
  <c r="C485" i="8"/>
  <c r="C487" i="8"/>
  <c r="C488" i="8"/>
  <c r="C489" i="8"/>
  <c r="C500" i="8"/>
  <c r="C491" i="8"/>
  <c r="C492" i="8"/>
  <c r="C494" i="8"/>
  <c r="C495" i="8"/>
  <c r="C469" i="8"/>
  <c r="C497" i="8"/>
  <c r="C498" i="8"/>
  <c r="C499" i="8"/>
  <c r="C501" i="8"/>
  <c r="C502" i="8"/>
  <c r="C496" i="8"/>
  <c r="C505" i="8"/>
  <c r="C507" i="8"/>
  <c r="C508" i="8"/>
  <c r="C510" i="8"/>
  <c r="C513" i="8"/>
  <c r="C516" i="8"/>
  <c r="C517" i="8"/>
  <c r="C520" i="8"/>
  <c r="C521" i="8"/>
  <c r="C522" i="8"/>
  <c r="C523" i="8"/>
  <c r="C527" i="8"/>
  <c r="C528" i="8"/>
  <c r="C529" i="8"/>
  <c r="C531" i="8"/>
  <c r="C410" i="8"/>
  <c r="C535" i="8"/>
  <c r="C537" i="8"/>
  <c r="C538" i="8"/>
  <c r="C539" i="8"/>
  <c r="C547" i="8"/>
  <c r="C548" i="8"/>
  <c r="C549" i="8"/>
  <c r="C550" i="8"/>
  <c r="C558" i="8"/>
  <c r="C562" i="8"/>
  <c r="C563" i="8"/>
  <c r="C477" i="8"/>
  <c r="C481" i="8"/>
  <c r="C572" i="8"/>
  <c r="C585" i="8"/>
  <c r="C588" i="8"/>
  <c r="C593" i="8"/>
  <c r="C595" i="8"/>
  <c r="C602" i="8"/>
  <c r="C60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3" i="8"/>
  <c r="C272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2" i="8"/>
  <c r="C290" i="8"/>
  <c r="C291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97" i="8"/>
  <c r="C430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3" i="8"/>
  <c r="C394" i="8"/>
  <c r="C395" i="8"/>
  <c r="C396" i="8"/>
  <c r="C378" i="8"/>
  <c r="C398" i="8"/>
  <c r="C399" i="8"/>
  <c r="C400" i="8"/>
  <c r="C401" i="8"/>
  <c r="C402" i="8"/>
  <c r="C403" i="8"/>
  <c r="C404" i="8"/>
  <c r="C405" i="8"/>
  <c r="C421" i="8"/>
  <c r="C407" i="8"/>
  <c r="C408" i="8"/>
  <c r="C409" i="8"/>
  <c r="C406" i="8"/>
  <c r="C411" i="8"/>
  <c r="C412" i="8"/>
  <c r="C413" i="8"/>
  <c r="C414" i="8"/>
  <c r="C416" i="8"/>
  <c r="C417" i="8"/>
  <c r="C418" i="8"/>
  <c r="C419" i="8"/>
  <c r="C420" i="8"/>
  <c r="H594" i="5"/>
  <c r="T594" i="5" s="1"/>
  <c r="O594" i="5"/>
  <c r="T13" i="7"/>
  <c r="E603" i="5"/>
  <c r="G603" i="5" s="1"/>
  <c r="T603" i="5"/>
  <c r="R653" i="8"/>
  <c r="H575" i="5"/>
  <c r="T575" i="5" s="1"/>
  <c r="O575" i="5"/>
  <c r="H584" i="5"/>
  <c r="T584" i="5" s="1"/>
  <c r="O584" i="5"/>
  <c r="H550" i="5"/>
  <c r="O550" i="5"/>
  <c r="T550" i="5"/>
  <c r="H587" i="5"/>
  <c r="T587" i="5" s="1"/>
  <c r="O587" i="5"/>
  <c r="H588" i="5"/>
  <c r="T588" i="5" s="1"/>
  <c r="O588" i="5"/>
  <c r="H583" i="5"/>
  <c r="T583" i="5" s="1"/>
  <c r="O583" i="5"/>
  <c r="H520" i="5"/>
  <c r="T520" i="5" s="1"/>
  <c r="O520" i="5"/>
  <c r="H586" i="5"/>
  <c r="O586" i="5"/>
  <c r="T586" i="5"/>
  <c r="R667" i="8"/>
  <c r="R600" i="8"/>
  <c r="H570" i="5"/>
  <c r="O570" i="5"/>
  <c r="T570" i="5"/>
  <c r="H582" i="5"/>
  <c r="T582" i="5" s="1"/>
  <c r="O582" i="5"/>
  <c r="H571" i="5"/>
  <c r="T571" i="5" s="1"/>
  <c r="O571" i="5"/>
  <c r="H591" i="5"/>
  <c r="T591" i="5" s="1"/>
  <c r="O591" i="5"/>
  <c r="O593" i="5" l="1"/>
  <c r="O597" i="5"/>
  <c r="O603" i="5"/>
  <c r="H603" i="5"/>
  <c r="H555" i="5"/>
  <c r="T555" i="5" s="1"/>
  <c r="O555" i="5"/>
  <c r="H563" i="5"/>
  <c r="T563" i="5" s="1"/>
  <c r="O563" i="5"/>
  <c r="H572" i="5"/>
  <c r="T572" i="5" s="1"/>
  <c r="O572" i="5"/>
  <c r="R596" i="8"/>
  <c r="R602" i="8"/>
  <c r="R681" i="8"/>
  <c r="R618" i="8"/>
  <c r="E441" i="5"/>
  <c r="H569" i="5"/>
  <c r="T569" i="5" s="1"/>
  <c r="O569" i="5"/>
  <c r="H567" i="5"/>
  <c r="T567" i="5" s="1"/>
  <c r="O567" i="5"/>
  <c r="H564" i="5"/>
  <c r="T564" i="5" s="1"/>
  <c r="O564" i="5"/>
  <c r="H565" i="5"/>
  <c r="T565" i="5" s="1"/>
  <c r="O565" i="5"/>
  <c r="H566" i="5"/>
  <c r="T566" i="5" s="1"/>
  <c r="O566" i="5"/>
  <c r="R643" i="8"/>
  <c r="R628" i="8"/>
  <c r="R598" i="8"/>
  <c r="R592" i="8"/>
  <c r="R666" i="8"/>
  <c r="R582" i="8"/>
  <c r="R593" i="8"/>
  <c r="R589" i="8" l="1"/>
  <c r="R516" i="8"/>
  <c r="S13" i="7"/>
  <c r="M16" i="8" l="1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3" i="8"/>
  <c r="M272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2" i="8"/>
  <c r="M290" i="8"/>
  <c r="M291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97" i="8"/>
  <c r="M430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3" i="8"/>
  <c r="M394" i="8"/>
  <c r="M395" i="8"/>
  <c r="M396" i="8"/>
  <c r="M378" i="8"/>
  <c r="M398" i="8"/>
  <c r="M399" i="8"/>
  <c r="M400" i="8"/>
  <c r="M401" i="8"/>
  <c r="M402" i="8"/>
  <c r="M403" i="8"/>
  <c r="M404" i="8"/>
  <c r="M405" i="8"/>
  <c r="M421" i="8"/>
  <c r="M407" i="8"/>
  <c r="M408" i="8"/>
  <c r="M409" i="8"/>
  <c r="M406" i="8"/>
  <c r="M411" i="8"/>
  <c r="M412" i="8"/>
  <c r="M413" i="8"/>
  <c r="M414" i="8"/>
  <c r="M416" i="8"/>
  <c r="M417" i="8"/>
  <c r="M418" i="8"/>
  <c r="M419" i="8"/>
  <c r="M420" i="8"/>
  <c r="M422" i="8"/>
  <c r="M423" i="8"/>
  <c r="M425" i="8"/>
  <c r="M426" i="8"/>
  <c r="M427" i="8"/>
  <c r="M428" i="8"/>
  <c r="M429" i="8"/>
  <c r="M437" i="8"/>
  <c r="M441" i="8"/>
  <c r="M432" i="8"/>
  <c r="M433" i="8"/>
  <c r="M434" i="8"/>
  <c r="M436" i="8"/>
  <c r="M438" i="8"/>
  <c r="M439" i="8"/>
  <c r="M440" i="8"/>
  <c r="M456" i="8"/>
  <c r="M442" i="8"/>
  <c r="M443" i="8"/>
  <c r="M444" i="8"/>
  <c r="M445" i="8"/>
  <c r="M446" i="8"/>
  <c r="M447" i="8"/>
  <c r="M448" i="8"/>
  <c r="M449" i="8"/>
  <c r="M450" i="8"/>
  <c r="M451" i="8"/>
  <c r="M452" i="8"/>
  <c r="M453" i="8"/>
  <c r="M454" i="8"/>
  <c r="M459" i="8"/>
  <c r="M460" i="8"/>
  <c r="M461" i="8"/>
  <c r="M462" i="8"/>
  <c r="M463" i="8"/>
  <c r="M464" i="8"/>
  <c r="M467" i="8"/>
  <c r="M468" i="8"/>
  <c r="M470" i="8"/>
  <c r="M473" i="8"/>
  <c r="M474" i="8"/>
  <c r="M476" i="8"/>
  <c r="M478" i="8"/>
  <c r="M479" i="8"/>
  <c r="M482" i="8"/>
  <c r="M483" i="8"/>
  <c r="M484" i="8"/>
  <c r="M485" i="8"/>
  <c r="M487" i="8"/>
  <c r="M488" i="8"/>
  <c r="M489" i="8"/>
  <c r="M491" i="8"/>
  <c r="M492" i="8"/>
  <c r="M494" i="8"/>
  <c r="M469" i="8"/>
  <c r="M499" i="8"/>
  <c r="M501" i="8"/>
  <c r="M502" i="8"/>
  <c r="M496" i="8"/>
  <c r="M505" i="8"/>
  <c r="M507" i="8"/>
  <c r="M508" i="8"/>
  <c r="M510" i="8"/>
  <c r="M513" i="8"/>
  <c r="M517" i="8"/>
  <c r="M520" i="8"/>
  <c r="M521" i="8"/>
  <c r="M522" i="8"/>
  <c r="M527" i="8"/>
  <c r="M528" i="8"/>
  <c r="M529" i="8"/>
  <c r="M531" i="8"/>
  <c r="M537" i="8"/>
  <c r="M538" i="8"/>
  <c r="M539" i="8"/>
  <c r="M547" i="8"/>
  <c r="M548" i="8"/>
  <c r="M549" i="8"/>
  <c r="M550" i="8"/>
  <c r="M558" i="8"/>
  <c r="M562" i="8"/>
  <c r="M563" i="8"/>
  <c r="R617" i="8"/>
  <c r="R755" i="8"/>
  <c r="R658" i="8"/>
  <c r="H562" i="5"/>
  <c r="T562" i="5" s="1"/>
  <c r="O562" i="5"/>
  <c r="H538" i="5"/>
  <c r="O538" i="5"/>
  <c r="T538" i="5"/>
  <c r="R584" i="8"/>
  <c r="R577" i="8"/>
  <c r="H561" i="5"/>
  <c r="O561" i="5"/>
  <c r="T561" i="5"/>
  <c r="R544" i="8"/>
  <c r="R519" i="8"/>
  <c r="R567" i="8"/>
  <c r="R570" i="8"/>
  <c r="R566" i="8"/>
  <c r="R571" i="8"/>
  <c r="R651" i="8"/>
  <c r="R585" i="8"/>
  <c r="T745" i="5"/>
  <c r="T746" i="5"/>
  <c r="T747" i="5"/>
  <c r="E560" i="5"/>
  <c r="E517" i="5"/>
  <c r="O517" i="5" s="1"/>
  <c r="E361" i="5"/>
  <c r="H560" i="5" l="1"/>
  <c r="T560" i="5" s="1"/>
  <c r="O560" i="5"/>
  <c r="H517" i="5"/>
  <c r="T517" i="5" s="1"/>
  <c r="H557" i="5" l="1"/>
  <c r="T557" i="5" s="1"/>
  <c r="O557" i="5"/>
  <c r="H556" i="5"/>
  <c r="T556" i="5" s="1"/>
  <c r="O556" i="5"/>
  <c r="H558" i="5" l="1"/>
  <c r="T558" i="5" s="1"/>
  <c r="O558" i="5"/>
  <c r="H559" i="5"/>
  <c r="T559" i="5" s="1"/>
  <c r="O559" i="5"/>
  <c r="R665" i="8"/>
  <c r="R613" i="8"/>
  <c r="R559" i="8"/>
  <c r="R656" i="8"/>
  <c r="R561" i="8"/>
  <c r="H402" i="5"/>
  <c r="T402" i="5" s="1"/>
  <c r="O402" i="5"/>
  <c r="R595" i="8"/>
  <c r="R553" i="8"/>
  <c r="R9" i="7"/>
  <c r="R8" i="7"/>
  <c r="R7" i="7"/>
  <c r="R655" i="8"/>
  <c r="R557" i="8"/>
  <c r="H554" i="5"/>
  <c r="T554" i="5" s="1"/>
  <c r="O554" i="5"/>
  <c r="E677" i="5"/>
  <c r="R530" i="8"/>
  <c r="R586" i="8"/>
  <c r="H441" i="5"/>
  <c r="O441" i="5"/>
  <c r="T441" i="5"/>
  <c r="H515" i="5"/>
  <c r="T515" i="5" s="1"/>
  <c r="O515" i="5"/>
  <c r="H553" i="5"/>
  <c r="T553" i="5" s="1"/>
  <c r="O553" i="5"/>
  <c r="H552" i="5"/>
  <c r="T552" i="5" s="1"/>
  <c r="O552" i="5"/>
  <c r="R551" i="8"/>
  <c r="R563" i="8"/>
  <c r="R546" i="8"/>
  <c r="R524" i="8"/>
  <c r="H548" i="5"/>
  <c r="T548" i="5" s="1"/>
  <c r="O548" i="5"/>
  <c r="R562" i="8"/>
  <c r="H551" i="5"/>
  <c r="T551" i="5" s="1"/>
  <c r="O551" i="5"/>
  <c r="H470" i="5"/>
  <c r="T470" i="5" s="1"/>
  <c r="O470" i="5"/>
  <c r="R641" i="8"/>
  <c r="R542" i="8"/>
  <c r="R558" i="8"/>
  <c r="H546" i="5"/>
  <c r="T546" i="5" s="1"/>
  <c r="O546" i="5"/>
  <c r="H492" i="5"/>
  <c r="O492" i="5"/>
  <c r="T492" i="5"/>
  <c r="H549" i="5"/>
  <c r="O549" i="5"/>
  <c r="T549" i="5"/>
  <c r="H516" i="5"/>
  <c r="O516" i="5"/>
  <c r="T516" i="5"/>
  <c r="H504" i="5"/>
  <c r="O504" i="5"/>
  <c r="T504" i="5"/>
  <c r="Q13" i="7"/>
  <c r="R543" i="8"/>
  <c r="R511" i="8"/>
  <c r="R611" i="8"/>
  <c r="H539" i="5"/>
  <c r="T539" i="5" s="1"/>
  <c r="O539" i="5"/>
  <c r="H484" i="5"/>
  <c r="O484" i="5"/>
  <c r="T484" i="5"/>
  <c r="H376" i="5"/>
  <c r="O376" i="5"/>
  <c r="T376" i="5"/>
  <c r="H547" i="5"/>
  <c r="T547" i="5" s="1"/>
  <c r="O547" i="5"/>
  <c r="H540" i="5"/>
  <c r="T540" i="5" s="1"/>
  <c r="O540" i="5"/>
  <c r="H505" i="5"/>
  <c r="T505" i="5" s="1"/>
  <c r="O505" i="5"/>
  <c r="E545" i="5"/>
  <c r="O545" i="5" s="1"/>
  <c r="E536" i="5"/>
  <c r="H536" i="5" s="1"/>
  <c r="T536" i="5" s="1"/>
  <c r="H533" i="5"/>
  <c r="O533" i="5"/>
  <c r="T533" i="5"/>
  <c r="H530" i="5"/>
  <c r="O530" i="5"/>
  <c r="T530" i="5"/>
  <c r="Q4" i="7"/>
  <c r="H543" i="5"/>
  <c r="O543" i="5"/>
  <c r="T543" i="5"/>
  <c r="H544" i="5"/>
  <c r="T544" i="5" s="1"/>
  <c r="O544" i="5"/>
  <c r="H541" i="5"/>
  <c r="T541" i="5" s="1"/>
  <c r="O541" i="5"/>
  <c r="H529" i="5"/>
  <c r="T529" i="5" s="1"/>
  <c r="O529" i="5"/>
  <c r="H528" i="5"/>
  <c r="T528" i="5" s="1"/>
  <c r="O528" i="5"/>
  <c r="H677" i="5" l="1"/>
  <c r="T677" i="5" s="1"/>
  <c r="H527" i="5"/>
  <c r="T527" i="5" s="1"/>
  <c r="R6" i="7"/>
  <c r="R13" i="7" s="1"/>
  <c r="O677" i="5"/>
  <c r="O527" i="5"/>
  <c r="H545" i="5"/>
  <c r="T545" i="5" s="1"/>
  <c r="O536" i="5"/>
  <c r="R578" i="8"/>
  <c r="R392" i="8"/>
  <c r="R580" i="8"/>
  <c r="R579" i="8"/>
  <c r="H542" i="5"/>
  <c r="T542" i="5" s="1"/>
  <c r="O542" i="5"/>
  <c r="H510" i="5"/>
  <c r="T510" i="5" s="1"/>
  <c r="O510" i="5"/>
  <c r="H514" i="5"/>
  <c r="T514" i="5" s="1"/>
  <c r="O514" i="5"/>
  <c r="H537" i="5"/>
  <c r="O537" i="5"/>
  <c r="T537" i="5"/>
  <c r="R550" i="8"/>
  <c r="R549" i="8"/>
  <c r="H513" i="5"/>
  <c r="T513" i="5" s="1"/>
  <c r="O513" i="5"/>
  <c r="H512" i="5"/>
  <c r="T512" i="5" s="1"/>
  <c r="O512" i="5"/>
  <c r="P13" i="7"/>
  <c r="R548" i="8"/>
  <c r="R547" i="8"/>
  <c r="R537" i="8"/>
  <c r="R486" i="8"/>
  <c r="R458" i="8"/>
  <c r="R512" i="8"/>
  <c r="R515" i="8"/>
  <c r="R601" i="8"/>
  <c r="R534" i="8"/>
  <c r="R525" i="8"/>
  <c r="R539" i="8"/>
  <c r="R532" i="8"/>
  <c r="R664" i="8"/>
  <c r="R538" i="8"/>
  <c r="R605" i="8"/>
  <c r="H511" i="5"/>
  <c r="T511" i="5" s="1"/>
  <c r="O511" i="5"/>
  <c r="H526" i="5"/>
  <c r="T526" i="5" s="1"/>
  <c r="O526" i="5"/>
  <c r="H532" i="5"/>
  <c r="T532" i="5" s="1"/>
  <c r="O532" i="5"/>
  <c r="H535" i="5"/>
  <c r="T535" i="5" s="1"/>
  <c r="O535" i="5"/>
  <c r="H534" i="5"/>
  <c r="T534" i="5" s="1"/>
  <c r="O534" i="5"/>
  <c r="H507" i="5"/>
  <c r="T507" i="5" s="1"/>
  <c r="O507" i="5"/>
  <c r="H531" i="5"/>
  <c r="T531" i="5" s="1"/>
  <c r="O531" i="5"/>
  <c r="H508" i="5"/>
  <c r="T508" i="5" s="1"/>
  <c r="O508" i="5"/>
  <c r="H506" i="5"/>
  <c r="T506" i="5" s="1"/>
  <c r="O506" i="5"/>
  <c r="H525" i="5"/>
  <c r="T525" i="5" s="1"/>
  <c r="O525" i="5"/>
  <c r="H509" i="5"/>
  <c r="T509" i="5" s="1"/>
  <c r="O509" i="5"/>
  <c r="R493" i="8" l="1"/>
  <c r="R565" i="8"/>
  <c r="J458" i="5"/>
  <c r="J457" i="5"/>
  <c r="R572" i="8"/>
  <c r="R498" i="8"/>
  <c r="R508" i="8"/>
  <c r="R529" i="8"/>
  <c r="R527" i="8"/>
  <c r="R520" i="8"/>
  <c r="R521" i="8"/>
  <c r="R522" i="8"/>
  <c r="R663" i="8"/>
  <c r="R320" i="8"/>
  <c r="R504" i="8"/>
  <c r="R506" i="8"/>
  <c r="H503" i="5"/>
  <c r="T503" i="5" s="1"/>
  <c r="O503" i="5"/>
  <c r="H502" i="5"/>
  <c r="T502" i="5" s="1"/>
  <c r="O502" i="5"/>
  <c r="H501" i="5"/>
  <c r="T501" i="5" s="1"/>
  <c r="O501" i="5"/>
  <c r="H524" i="5"/>
  <c r="T524" i="5" s="1"/>
  <c r="O524" i="5"/>
  <c r="H498" i="5"/>
  <c r="T498" i="5" s="1"/>
  <c r="O498" i="5"/>
  <c r="H499" i="5"/>
  <c r="T499" i="5" s="1"/>
  <c r="O499" i="5"/>
  <c r="H500" i="5"/>
  <c r="T500" i="5" s="1"/>
  <c r="O500" i="5"/>
  <c r="E497" i="5"/>
  <c r="O497" i="5" s="1"/>
  <c r="E496" i="5"/>
  <c r="H496" i="5" s="1"/>
  <c r="T496" i="5" s="1"/>
  <c r="R640" i="8"/>
  <c r="R573" i="8"/>
  <c r="R517" i="8"/>
  <c r="R509" i="8"/>
  <c r="O13" i="7"/>
  <c r="H481" i="5"/>
  <c r="E490" i="5"/>
  <c r="E495" i="5"/>
  <c r="O495" i="5"/>
  <c r="T495" i="5"/>
  <c r="H490" i="5" l="1"/>
  <c r="T490" i="5" s="1"/>
  <c r="H495" i="5"/>
  <c r="O496" i="5"/>
  <c r="H497" i="5"/>
  <c r="T497" i="5" s="1"/>
  <c r="O490" i="5"/>
  <c r="H491" i="5" l="1"/>
  <c r="O491" i="5"/>
  <c r="T491" i="5"/>
  <c r="R513" i="8" l="1"/>
  <c r="R642" i="8"/>
  <c r="R375" i="8"/>
  <c r="R569" i="8"/>
  <c r="H489" i="5"/>
  <c r="T489" i="5" s="1"/>
  <c r="O489" i="5"/>
  <c r="H486" i="5"/>
  <c r="T486" i="5" s="1"/>
  <c r="O486" i="5"/>
  <c r="O481" i="5"/>
  <c r="T481" i="5"/>
  <c r="H488" i="5"/>
  <c r="T488" i="5" s="1"/>
  <c r="O488" i="5"/>
  <c r="H487" i="5"/>
  <c r="T487" i="5" s="1"/>
  <c r="O487" i="5"/>
  <c r="H485" i="5"/>
  <c r="T485" i="5" s="1"/>
  <c r="O485" i="5"/>
  <c r="E483" i="5"/>
  <c r="H483" i="5" s="1"/>
  <c r="T483" i="5" s="1"/>
  <c r="E482" i="5"/>
  <c r="H482" i="5" s="1"/>
  <c r="T482" i="5" s="1"/>
  <c r="R533" i="8"/>
  <c r="R568" i="8"/>
  <c r="R497" i="8"/>
  <c r="R495" i="8"/>
  <c r="R507" i="8"/>
  <c r="R471" i="8"/>
  <c r="O482" i="5" l="1"/>
  <c r="O483" i="5"/>
  <c r="N13" i="7"/>
  <c r="R505" i="8" l="1"/>
  <c r="R496" i="8"/>
  <c r="R494" i="8"/>
  <c r="R531" i="8"/>
  <c r="B13" i="7"/>
  <c r="H467" i="5" l="1"/>
  <c r="O467" i="5"/>
  <c r="T467" i="5"/>
  <c r="H478" i="5"/>
  <c r="T478" i="5" s="1"/>
  <c r="O478" i="5"/>
  <c r="H480" i="5"/>
  <c r="T480" i="5" s="1"/>
  <c r="O480" i="5"/>
  <c r="H449" i="5"/>
  <c r="O449" i="5"/>
  <c r="T449" i="5"/>
  <c r="H479" i="5"/>
  <c r="T479" i="5" s="1"/>
  <c r="O479" i="5"/>
  <c r="H477" i="5"/>
  <c r="T477" i="5" s="1"/>
  <c r="O477" i="5"/>
  <c r="H476" i="5"/>
  <c r="T476" i="5" s="1"/>
  <c r="O476" i="5"/>
  <c r="H466" i="5"/>
  <c r="O466" i="5"/>
  <c r="T466" i="5"/>
  <c r="H465" i="5"/>
  <c r="O465" i="5"/>
  <c r="T465" i="5"/>
  <c r="H464" i="5"/>
  <c r="O464" i="5"/>
  <c r="T464" i="5"/>
  <c r="R501" i="8"/>
  <c r="R555" i="8"/>
  <c r="T457" i="5"/>
  <c r="T446" i="5"/>
  <c r="T411" i="5"/>
  <c r="H415" i="5" l="1"/>
  <c r="T415" i="5" s="1"/>
  <c r="O415" i="5"/>
  <c r="R499" i="8"/>
  <c r="R404" i="8"/>
  <c r="R469" i="8"/>
  <c r="R518" i="8"/>
  <c r="R554" i="8"/>
  <c r="R502" i="8"/>
  <c r="R454" i="8"/>
  <c r="R453" i="8"/>
  <c r="R485" i="8" l="1"/>
  <c r="R488" i="8"/>
  <c r="R489" i="8"/>
  <c r="R523" i="8"/>
  <c r="R491" i="8"/>
  <c r="R492" i="8"/>
  <c r="R514" i="8"/>
  <c r="R662" i="8"/>
  <c r="E468" i="5"/>
  <c r="H468" i="5" s="1"/>
  <c r="T468" i="5" s="1"/>
  <c r="H475" i="5"/>
  <c r="T475" i="5" s="1"/>
  <c r="O475" i="5"/>
  <c r="H471" i="5"/>
  <c r="T471" i="5" s="1"/>
  <c r="O471" i="5"/>
  <c r="R483" i="8"/>
  <c r="R484" i="8"/>
  <c r="R209" i="8"/>
  <c r="R487" i="8"/>
  <c r="M13" i="7"/>
  <c r="R478" i="8"/>
  <c r="O468" i="5" l="1"/>
  <c r="R479" i="8"/>
  <c r="R466" i="8"/>
  <c r="R526" i="8"/>
  <c r="R482" i="8"/>
  <c r="R416" i="8"/>
  <c r="O456" i="5" l="1"/>
  <c r="O447" i="5"/>
  <c r="O427" i="5"/>
  <c r="O420" i="5"/>
  <c r="O388" i="5"/>
  <c r="O385" i="5"/>
  <c r="O370" i="5"/>
  <c r="O347" i="5"/>
  <c r="O340" i="5"/>
  <c r="O320" i="5"/>
  <c r="O302" i="5"/>
  <c r="H440" i="5" l="1"/>
  <c r="T440" i="5" s="1"/>
  <c r="O440" i="5"/>
  <c r="H474" i="5"/>
  <c r="T474" i="5" s="1"/>
  <c r="O474" i="5"/>
  <c r="H473" i="5"/>
  <c r="T473" i="5" s="1"/>
  <c r="O473" i="5"/>
  <c r="R412" i="8" l="1"/>
  <c r="H463" i="5" l="1"/>
  <c r="T463" i="5" s="1"/>
  <c r="O463" i="5"/>
  <c r="H461" i="5" l="1"/>
  <c r="T461" i="5" s="1"/>
  <c r="O461" i="5"/>
  <c r="H462" i="5"/>
  <c r="T462" i="5" s="1"/>
  <c r="O462" i="5"/>
  <c r="H433" i="5"/>
  <c r="T433" i="5" s="1"/>
  <c r="O433" i="5"/>
  <c r="R500" i="8"/>
  <c r="R490" i="8"/>
  <c r="R474" i="8"/>
  <c r="R536" i="8"/>
  <c r="R473" i="8"/>
  <c r="O361" i="5" l="1"/>
  <c r="H361" i="5"/>
  <c r="T361" i="5" s="1"/>
  <c r="E458" i="5"/>
  <c r="H458" i="5" s="1"/>
  <c r="T458" i="5"/>
  <c r="H437" i="5"/>
  <c r="T437" i="5" s="1"/>
  <c r="O437" i="5"/>
  <c r="H456" i="5"/>
  <c r="T456" i="5" s="1"/>
  <c r="H438" i="5"/>
  <c r="T438" i="5" s="1"/>
  <c r="O438" i="5"/>
  <c r="H453" i="5"/>
  <c r="T453" i="5" s="1"/>
  <c r="O453" i="5"/>
  <c r="H439" i="5"/>
  <c r="T439" i="5" s="1"/>
  <c r="O439" i="5"/>
  <c r="H448" i="5"/>
  <c r="T448" i="5" s="1"/>
  <c r="O448" i="5"/>
  <c r="H455" i="5"/>
  <c r="T455" i="5" s="1"/>
  <c r="O455" i="5"/>
  <c r="H469" i="5"/>
  <c r="T469" i="5" s="1"/>
  <c r="O469" i="5"/>
  <c r="H460" i="5"/>
  <c r="T460" i="5" s="1"/>
  <c r="O460" i="5"/>
  <c r="O435" i="5"/>
  <c r="T435" i="5"/>
  <c r="O458" i="5" l="1"/>
  <c r="E457" i="5"/>
  <c r="H457" i="5" s="1"/>
  <c r="R461" i="8"/>
  <c r="R460" i="8"/>
  <c r="R459" i="8"/>
  <c r="R480" i="8"/>
  <c r="N467" i="8"/>
  <c r="R467" i="8"/>
  <c r="R383" i="8"/>
  <c r="R462" i="8"/>
  <c r="R463" i="8"/>
  <c r="R464" i="8"/>
  <c r="R476" i="8"/>
  <c r="R481" i="8"/>
  <c r="R468" i="8"/>
  <c r="R588" i="8"/>
  <c r="R372" i="8"/>
  <c r="H459" i="5"/>
  <c r="T459" i="5" s="1"/>
  <c r="O459" i="5"/>
  <c r="H451" i="5"/>
  <c r="T451" i="5" s="1"/>
  <c r="O451" i="5"/>
  <c r="H450" i="5"/>
  <c r="T450" i="5" s="1"/>
  <c r="O450" i="5"/>
  <c r="H447" i="5"/>
  <c r="T447" i="5" s="1"/>
  <c r="L13" i="7"/>
  <c r="L4" i="7"/>
  <c r="M4" i="7" s="1"/>
  <c r="N4" i="7" s="1"/>
  <c r="R477" i="8"/>
  <c r="R528" i="8"/>
  <c r="R397" i="8"/>
  <c r="R450" i="8"/>
  <c r="R449" i="8"/>
  <c r="R452" i="8"/>
  <c r="H445" i="5"/>
  <c r="T445" i="5" s="1"/>
  <c r="O445" i="5"/>
  <c r="H446" i="5"/>
  <c r="O446" i="5"/>
  <c r="H452" i="5"/>
  <c r="T452" i="5" s="1"/>
  <c r="O452" i="5"/>
  <c r="H432" i="5"/>
  <c r="T432" i="5" s="1"/>
  <c r="O432" i="5"/>
  <c r="T436" i="5"/>
  <c r="O436" i="5"/>
  <c r="H434" i="5"/>
  <c r="T434" i="5" s="1"/>
  <c r="O434" i="5"/>
  <c r="O457" i="5" l="1"/>
  <c r="T359" i="5"/>
  <c r="B4" i="5"/>
  <c r="P738" i="5" s="1"/>
  <c r="H430" i="5"/>
  <c r="T430" i="5" s="1"/>
  <c r="O430" i="5"/>
  <c r="E431" i="5"/>
  <c r="Q738" i="5" l="1"/>
  <c r="R738" i="5"/>
  <c r="P744" i="5"/>
  <c r="Q744" i="5" s="1"/>
  <c r="P737" i="5"/>
  <c r="P742" i="5"/>
  <c r="Q742" i="5" s="1"/>
  <c r="P743" i="5"/>
  <c r="P713" i="5"/>
  <c r="Q713" i="5" s="1"/>
  <c r="P714" i="5"/>
  <c r="P740" i="5"/>
  <c r="Q740" i="5" s="1"/>
  <c r="P741" i="5"/>
  <c r="P735" i="5"/>
  <c r="P736" i="5"/>
  <c r="R736" i="5" s="1"/>
  <c r="P733" i="5"/>
  <c r="R733" i="5" s="1"/>
  <c r="P734" i="5"/>
  <c r="R734" i="5" s="1"/>
  <c r="P726" i="5"/>
  <c r="R726" i="5" s="1"/>
  <c r="P721" i="5"/>
  <c r="R721" i="5" s="1"/>
  <c r="P731" i="5"/>
  <c r="R731" i="5" s="1"/>
  <c r="P712" i="5"/>
  <c r="R712" i="5" s="1"/>
  <c r="P614" i="5"/>
  <c r="R614" i="5" s="1"/>
  <c r="P703" i="5"/>
  <c r="R703" i="5" s="1"/>
  <c r="P711" i="5"/>
  <c r="R711" i="5" s="1"/>
  <c r="P729" i="5"/>
  <c r="R729" i="5" s="1"/>
  <c r="P724" i="5"/>
  <c r="R724" i="5" s="1"/>
  <c r="P720" i="5"/>
  <c r="R720" i="5" s="1"/>
  <c r="P732" i="5"/>
  <c r="R732" i="5" s="1"/>
  <c r="P728" i="5"/>
  <c r="R728" i="5" s="1"/>
  <c r="P719" i="5"/>
  <c r="R719" i="5" s="1"/>
  <c r="P696" i="5"/>
  <c r="R696" i="5" s="1"/>
  <c r="P727" i="5"/>
  <c r="R727" i="5" s="1"/>
  <c r="P718" i="5"/>
  <c r="R718" i="5" s="1"/>
  <c r="P739" i="5"/>
  <c r="R739" i="5" s="1"/>
  <c r="P700" i="5"/>
  <c r="R700" i="5" s="1"/>
  <c r="P730" i="5"/>
  <c r="R730" i="5" s="1"/>
  <c r="P716" i="5"/>
  <c r="R716" i="5" s="1"/>
  <c r="P717" i="5"/>
  <c r="R717" i="5" s="1"/>
  <c r="P725" i="5"/>
  <c r="Q725" i="5" s="1"/>
  <c r="P715" i="5"/>
  <c r="R715" i="5" s="1"/>
  <c r="P702" i="5"/>
  <c r="R702" i="5" s="1"/>
  <c r="P672" i="5"/>
  <c r="R672" i="5" s="1"/>
  <c r="P701" i="5"/>
  <c r="R701" i="5" s="1"/>
  <c r="P688" i="5"/>
  <c r="R688" i="5" s="1"/>
  <c r="P709" i="5"/>
  <c r="R709" i="5" s="1"/>
  <c r="P699" i="5"/>
  <c r="R699" i="5" s="1"/>
  <c r="P722" i="5"/>
  <c r="R722" i="5" s="1"/>
  <c r="P707" i="5"/>
  <c r="R707" i="5" s="1"/>
  <c r="P695" i="5"/>
  <c r="R695" i="5" s="1"/>
  <c r="P692" i="5"/>
  <c r="R692" i="5" s="1"/>
  <c r="P693" i="5"/>
  <c r="R693" i="5" s="1"/>
  <c r="P698" i="5"/>
  <c r="R698" i="5" s="1"/>
  <c r="P697" i="5"/>
  <c r="R697" i="5" s="1"/>
  <c r="P613" i="5"/>
  <c r="R613" i="5" s="1"/>
  <c r="P689" i="5"/>
  <c r="R689" i="5" s="1"/>
  <c r="P694" i="5"/>
  <c r="R694" i="5" s="1"/>
  <c r="P676" i="5"/>
  <c r="Q676" i="5"/>
  <c r="R676" i="5"/>
  <c r="P670" i="5"/>
  <c r="R670" i="5" s="1"/>
  <c r="P691" i="5"/>
  <c r="R691" i="5" s="1"/>
  <c r="P690" i="5"/>
  <c r="R690" i="5" s="1"/>
  <c r="P659" i="5"/>
  <c r="R659" i="5" s="1"/>
  <c r="P687" i="5"/>
  <c r="R687" i="5" s="1"/>
  <c r="P685" i="5"/>
  <c r="R685" i="5" s="1"/>
  <c r="P684" i="5"/>
  <c r="R684" i="5" s="1"/>
  <c r="P686" i="5"/>
  <c r="R686" i="5" s="1"/>
  <c r="P642" i="5"/>
  <c r="R642" i="5" s="1"/>
  <c r="P615" i="5"/>
  <c r="P683" i="5"/>
  <c r="P710" i="5"/>
  <c r="R710" i="5" s="1"/>
  <c r="Q683" i="5"/>
  <c r="R683" i="5"/>
  <c r="P611" i="5"/>
  <c r="R611" i="5" s="1"/>
  <c r="P723" i="5"/>
  <c r="R723" i="5" s="1"/>
  <c r="P680" i="5"/>
  <c r="P630" i="5"/>
  <c r="R630" i="5" s="1"/>
  <c r="P602" i="5"/>
  <c r="R602" i="5" s="1"/>
  <c r="P666" i="5"/>
  <c r="R666" i="5" s="1"/>
  <c r="P634" i="5"/>
  <c r="R634" i="5" s="1"/>
  <c r="P661" i="5"/>
  <c r="R661" i="5" s="1"/>
  <c r="P673" i="5"/>
  <c r="R673" i="5" s="1"/>
  <c r="P674" i="5"/>
  <c r="R674" i="5" s="1"/>
  <c r="P708" i="5"/>
  <c r="R708" i="5" s="1"/>
  <c r="P668" i="5"/>
  <c r="R668" i="5" s="1"/>
  <c r="P678" i="5"/>
  <c r="R678" i="5" s="1"/>
  <c r="P671" i="5"/>
  <c r="P646" i="5"/>
  <c r="R646" i="5" s="1"/>
  <c r="P665" i="5"/>
  <c r="P639" i="5"/>
  <c r="R639" i="5" s="1"/>
  <c r="Q665" i="5"/>
  <c r="R665" i="5"/>
  <c r="P669" i="5"/>
  <c r="R669" i="5" s="1"/>
  <c r="P667" i="5"/>
  <c r="R667" i="5" s="1"/>
  <c r="P663" i="5"/>
  <c r="R663" i="5" s="1"/>
  <c r="P654" i="5"/>
  <c r="R654" i="5" s="1"/>
  <c r="P664" i="5"/>
  <c r="P650" i="5"/>
  <c r="R650" i="5" s="1"/>
  <c r="P660" i="5"/>
  <c r="R660" i="5" s="1"/>
  <c r="P638" i="5"/>
  <c r="R638" i="5" s="1"/>
  <c r="P590" i="5"/>
  <c r="R590" i="5" s="1"/>
  <c r="P653" i="5"/>
  <c r="R653" i="5" s="1"/>
  <c r="P662" i="5"/>
  <c r="R662" i="5" s="1"/>
  <c r="P641" i="5"/>
  <c r="R641" i="5" s="1"/>
  <c r="P640" i="5"/>
  <c r="R640" i="5" s="1"/>
  <c r="P658" i="5"/>
  <c r="R658" i="5" s="1"/>
  <c r="P655" i="5"/>
  <c r="R655" i="5" s="1"/>
  <c r="P635" i="5"/>
  <c r="R635" i="5" s="1"/>
  <c r="P636" i="5"/>
  <c r="R636" i="5" s="1"/>
  <c r="P657" i="5"/>
  <c r="R657" i="5" s="1"/>
  <c r="P656" i="5"/>
  <c r="R656" i="5" s="1"/>
  <c r="P652" i="5"/>
  <c r="P647" i="5"/>
  <c r="R647" i="5" s="1"/>
  <c r="P649" i="5"/>
  <c r="R649" i="5" s="1"/>
  <c r="P651" i="5"/>
  <c r="P625" i="5"/>
  <c r="R625" i="5" s="1"/>
  <c r="P631" i="5"/>
  <c r="R631" i="5" s="1"/>
  <c r="P633" i="5"/>
  <c r="R633" i="5" s="1"/>
  <c r="P632" i="5"/>
  <c r="R632" i="5" s="1"/>
  <c r="P637" i="5"/>
  <c r="R637" i="5" s="1"/>
  <c r="P620" i="5"/>
  <c r="P622" i="5"/>
  <c r="R620" i="5"/>
  <c r="Q620" i="5"/>
  <c r="P629" i="5"/>
  <c r="R629" i="5" s="1"/>
  <c r="P619" i="5"/>
  <c r="P648" i="5"/>
  <c r="R648" i="5" s="1"/>
  <c r="P624" i="5"/>
  <c r="R624" i="5" s="1"/>
  <c r="P568" i="5"/>
  <c r="P682" i="5"/>
  <c r="R682" i="5" s="1"/>
  <c r="P679" i="5"/>
  <c r="R679" i="5" s="1"/>
  <c r="P623" i="5"/>
  <c r="R623" i="5" s="1"/>
  <c r="P621" i="5"/>
  <c r="R621" i="5" s="1"/>
  <c r="P612" i="5"/>
  <c r="P626" i="5"/>
  <c r="R626" i="5" s="1"/>
  <c r="P617" i="5"/>
  <c r="P610" i="5"/>
  <c r="R610" i="5" s="1"/>
  <c r="P618" i="5"/>
  <c r="P616" i="5"/>
  <c r="P598" i="5"/>
  <c r="R598" i="5" s="1"/>
  <c r="P681" i="5"/>
  <c r="R681" i="5" s="1"/>
  <c r="P578" i="5"/>
  <c r="Q578" i="5" s="1"/>
  <c r="P608" i="5"/>
  <c r="R608" i="5" s="1"/>
  <c r="P675" i="5"/>
  <c r="R675" i="5" s="1"/>
  <c r="P609" i="5"/>
  <c r="R609" i="5" s="1"/>
  <c r="P605" i="5"/>
  <c r="R605" i="5" s="1"/>
  <c r="P606" i="5"/>
  <c r="R606" i="5" s="1"/>
  <c r="P604" i="5"/>
  <c r="P601" i="5"/>
  <c r="R601" i="5" s="1"/>
  <c r="P573" i="5"/>
  <c r="R573" i="5" s="1"/>
  <c r="P607" i="5"/>
  <c r="R607" i="5" s="1"/>
  <c r="P518" i="5"/>
  <c r="R518" i="5" s="1"/>
  <c r="P600" i="5"/>
  <c r="R600" i="5" s="1"/>
  <c r="P494" i="5"/>
  <c r="Q494" i="5" s="1"/>
  <c r="P599" i="5"/>
  <c r="P576" i="5"/>
  <c r="R576" i="5" s="1"/>
  <c r="P493" i="5"/>
  <c r="P593" i="5"/>
  <c r="R593" i="5" s="1"/>
  <c r="P597" i="5"/>
  <c r="R597" i="5" s="1"/>
  <c r="P577" i="5"/>
  <c r="R577" i="5" s="1"/>
  <c r="P596" i="5"/>
  <c r="R596" i="5" s="1"/>
  <c r="P519" i="5"/>
  <c r="R519" i="5" s="1"/>
  <c r="P574" i="5"/>
  <c r="R574" i="5" s="1"/>
  <c r="P585" i="5"/>
  <c r="R585" i="5" s="1"/>
  <c r="P589" i="5"/>
  <c r="R589" i="5" s="1"/>
  <c r="P595" i="5"/>
  <c r="R595" i="5" s="1"/>
  <c r="P592" i="5"/>
  <c r="R592" i="5" s="1"/>
  <c r="P603" i="5"/>
  <c r="Q603" i="5" s="1"/>
  <c r="P594" i="5"/>
  <c r="R594" i="5" s="1"/>
  <c r="P584" i="5"/>
  <c r="R584" i="5" s="1"/>
  <c r="P575" i="5"/>
  <c r="R575" i="5" s="1"/>
  <c r="P587" i="5"/>
  <c r="R587" i="5" s="1"/>
  <c r="P550" i="5"/>
  <c r="R550" i="5" s="1"/>
  <c r="P583" i="5"/>
  <c r="R583" i="5" s="1"/>
  <c r="P588" i="5"/>
  <c r="R588" i="5" s="1"/>
  <c r="P586" i="5"/>
  <c r="P520" i="5"/>
  <c r="R520" i="5" s="1"/>
  <c r="R586" i="5"/>
  <c r="Q586" i="5"/>
  <c r="P582" i="5"/>
  <c r="R582" i="5" s="1"/>
  <c r="P570" i="5"/>
  <c r="P591" i="5"/>
  <c r="R591" i="5" s="1"/>
  <c r="P571" i="5"/>
  <c r="R571" i="5" s="1"/>
  <c r="P555" i="5"/>
  <c r="R555" i="5" s="1"/>
  <c r="P572" i="5"/>
  <c r="R572" i="5" s="1"/>
  <c r="P563" i="5"/>
  <c r="R563" i="5" s="1"/>
  <c r="P567" i="5"/>
  <c r="R567" i="5" s="1"/>
  <c r="P569" i="5"/>
  <c r="R569" i="5" s="1"/>
  <c r="P565" i="5"/>
  <c r="R565" i="5" s="1"/>
  <c r="P564" i="5"/>
  <c r="R564" i="5" s="1"/>
  <c r="P562" i="5"/>
  <c r="R562" i="5" s="1"/>
  <c r="P566" i="5"/>
  <c r="R566" i="5" s="1"/>
  <c r="P561" i="5"/>
  <c r="P538" i="5"/>
  <c r="Q561" i="5"/>
  <c r="R561" i="5"/>
  <c r="P517" i="5"/>
  <c r="R517" i="5" s="1"/>
  <c r="P560" i="5"/>
  <c r="P557" i="5"/>
  <c r="R557" i="5" s="1"/>
  <c r="P558" i="5"/>
  <c r="P556" i="5"/>
  <c r="R556" i="5" s="1"/>
  <c r="P402" i="5"/>
  <c r="R402" i="5" s="1"/>
  <c r="P559" i="5"/>
  <c r="R559" i="5" s="1"/>
  <c r="P677" i="5"/>
  <c r="R677" i="5" s="1"/>
  <c r="P554" i="5"/>
  <c r="R554" i="5" s="1"/>
  <c r="P515" i="5"/>
  <c r="R515" i="5" s="1"/>
  <c r="P441" i="5"/>
  <c r="R441" i="5" s="1"/>
  <c r="P552" i="5"/>
  <c r="R552" i="5" s="1"/>
  <c r="P553" i="5"/>
  <c r="R553" i="5" s="1"/>
  <c r="P551" i="5"/>
  <c r="R551" i="5" s="1"/>
  <c r="P548" i="5"/>
  <c r="R548" i="5" s="1"/>
  <c r="P546" i="5"/>
  <c r="R546" i="5" s="1"/>
  <c r="P470" i="5"/>
  <c r="P549" i="5"/>
  <c r="Q549" i="5" s="1"/>
  <c r="P492" i="5"/>
  <c r="P504" i="5"/>
  <c r="Q504" i="5" s="1"/>
  <c r="P516" i="5"/>
  <c r="P484" i="5"/>
  <c r="P539" i="5"/>
  <c r="R539" i="5" s="1"/>
  <c r="Q484" i="5"/>
  <c r="R484" i="5"/>
  <c r="P547" i="5"/>
  <c r="R547" i="5" s="1"/>
  <c r="P376" i="5"/>
  <c r="P505" i="5"/>
  <c r="R505" i="5" s="1"/>
  <c r="P540" i="5"/>
  <c r="R540" i="5" s="1"/>
  <c r="P536" i="5"/>
  <c r="R536" i="5" s="1"/>
  <c r="P545" i="5"/>
  <c r="R545" i="5" s="1"/>
  <c r="P530" i="5"/>
  <c r="Q530" i="5" s="1"/>
  <c r="P533" i="5"/>
  <c r="P544" i="5"/>
  <c r="R544" i="5" s="1"/>
  <c r="P543" i="5"/>
  <c r="R543" i="5" s="1"/>
  <c r="P529" i="5"/>
  <c r="R529" i="5" s="1"/>
  <c r="P541" i="5"/>
  <c r="R541" i="5" s="1"/>
  <c r="P527" i="5"/>
  <c r="R527" i="5" s="1"/>
  <c r="P528" i="5"/>
  <c r="R528" i="5" s="1"/>
  <c r="P542" i="5"/>
  <c r="R542" i="5" s="1"/>
  <c r="P514" i="5"/>
  <c r="R514" i="5" s="1"/>
  <c r="P510" i="5"/>
  <c r="R510" i="5" s="1"/>
  <c r="P513" i="5"/>
  <c r="R513" i="5" s="1"/>
  <c r="P537" i="5"/>
  <c r="R537" i="5" s="1"/>
  <c r="P511" i="5"/>
  <c r="R511" i="5" s="1"/>
  <c r="P512" i="5"/>
  <c r="R512" i="5" s="1"/>
  <c r="P532" i="5"/>
  <c r="R532" i="5" s="1"/>
  <c r="P526" i="5"/>
  <c r="R526" i="5" s="1"/>
  <c r="P534" i="5"/>
  <c r="R534" i="5" s="1"/>
  <c r="P535" i="5"/>
  <c r="R535" i="5" s="1"/>
  <c r="P531" i="5"/>
  <c r="R531" i="5" s="1"/>
  <c r="P507" i="5"/>
  <c r="R507" i="5" s="1"/>
  <c r="P506" i="5"/>
  <c r="R506" i="5" s="1"/>
  <c r="P508" i="5"/>
  <c r="R508" i="5" s="1"/>
  <c r="P509" i="5"/>
  <c r="R509" i="5" s="1"/>
  <c r="P525" i="5"/>
  <c r="R525" i="5" s="1"/>
  <c r="P503" i="5"/>
  <c r="R503" i="5" s="1"/>
  <c r="P501" i="5"/>
  <c r="R501" i="5" s="1"/>
  <c r="P502" i="5"/>
  <c r="R502" i="5" s="1"/>
  <c r="P498" i="5"/>
  <c r="R498" i="5" s="1"/>
  <c r="P524" i="5"/>
  <c r="R524" i="5" s="1"/>
  <c r="P500" i="5"/>
  <c r="R500" i="5" s="1"/>
  <c r="P499" i="5"/>
  <c r="R499" i="5" s="1"/>
  <c r="P496" i="5"/>
  <c r="R496" i="5" s="1"/>
  <c r="P497" i="5"/>
  <c r="R497" i="5" s="1"/>
  <c r="P490" i="5"/>
  <c r="R490" i="5" s="1"/>
  <c r="P491" i="5"/>
  <c r="P495" i="5"/>
  <c r="R491" i="5"/>
  <c r="Q491" i="5"/>
  <c r="P489" i="5"/>
  <c r="R489" i="5" s="1"/>
  <c r="P481" i="5"/>
  <c r="R481" i="5" s="1"/>
  <c r="P486" i="5"/>
  <c r="R486" i="5" s="1"/>
  <c r="P487" i="5"/>
  <c r="R487" i="5" s="1"/>
  <c r="P488" i="5"/>
  <c r="R488" i="5" s="1"/>
  <c r="P483" i="5"/>
  <c r="R483" i="5" s="1"/>
  <c r="P485" i="5"/>
  <c r="R485" i="5" s="1"/>
  <c r="P467" i="5"/>
  <c r="P482" i="5"/>
  <c r="R482" i="5" s="1"/>
  <c r="Q467" i="5"/>
  <c r="R467" i="5"/>
  <c r="P480" i="5"/>
  <c r="R480" i="5" s="1"/>
  <c r="P478" i="5"/>
  <c r="R478" i="5" s="1"/>
  <c r="P479" i="5"/>
  <c r="R479" i="5" s="1"/>
  <c r="P449" i="5"/>
  <c r="R449" i="5" s="1"/>
  <c r="P476" i="5"/>
  <c r="R476" i="5" s="1"/>
  <c r="P477" i="5"/>
  <c r="R477" i="5" s="1"/>
  <c r="P465" i="5"/>
  <c r="P466" i="5"/>
  <c r="Q465" i="5"/>
  <c r="R465" i="5"/>
  <c r="P415" i="5"/>
  <c r="R415" i="5" s="1"/>
  <c r="P464" i="5"/>
  <c r="P468" i="5"/>
  <c r="R468" i="5" s="1"/>
  <c r="P471" i="5"/>
  <c r="R471" i="5" s="1"/>
  <c r="P475" i="5"/>
  <c r="P474" i="5"/>
  <c r="P440" i="5"/>
  <c r="R440" i="5" s="1"/>
  <c r="P463" i="5"/>
  <c r="R463" i="5" s="1"/>
  <c r="P473" i="5"/>
  <c r="R473" i="5" s="1"/>
  <c r="P461" i="5"/>
  <c r="P361" i="5"/>
  <c r="R361" i="5" s="1"/>
  <c r="P462" i="5"/>
  <c r="P433" i="5"/>
  <c r="R433" i="5" s="1"/>
  <c r="P458" i="5"/>
  <c r="Q458" i="5" s="1"/>
  <c r="P457" i="5"/>
  <c r="R457" i="5" s="1"/>
  <c r="P456" i="5"/>
  <c r="R456" i="5" s="1"/>
  <c r="P437" i="5"/>
  <c r="R437" i="5" s="1"/>
  <c r="P453" i="5"/>
  <c r="P438" i="5"/>
  <c r="R438" i="5" s="1"/>
  <c r="P448" i="5"/>
  <c r="P439" i="5"/>
  <c r="R439" i="5" s="1"/>
  <c r="P469" i="5"/>
  <c r="P455" i="5"/>
  <c r="R455" i="5" s="1"/>
  <c r="P435" i="5"/>
  <c r="P460" i="5"/>
  <c r="R460" i="5" s="1"/>
  <c r="P459" i="5"/>
  <c r="O431" i="5"/>
  <c r="G431" i="5"/>
  <c r="H431" i="5" s="1"/>
  <c r="T431" i="5" s="1"/>
  <c r="P450" i="5"/>
  <c r="P451" i="5"/>
  <c r="R451" i="5" s="1"/>
  <c r="P445" i="5"/>
  <c r="P447" i="5"/>
  <c r="R447" i="5" s="1"/>
  <c r="P452" i="5"/>
  <c r="R452" i="5" s="1"/>
  <c r="P446" i="5"/>
  <c r="R446" i="5" s="1"/>
  <c r="P432" i="5"/>
  <c r="R432" i="5" s="1"/>
  <c r="P434" i="5"/>
  <c r="R434" i="5" s="1"/>
  <c r="P436" i="5"/>
  <c r="R436" i="5" s="1"/>
  <c r="R475" i="8"/>
  <c r="R448" i="8"/>
  <c r="R443" i="8"/>
  <c r="R444" i="8"/>
  <c r="R439" i="8"/>
  <c r="R440" i="8"/>
  <c r="R363" i="8"/>
  <c r="R621" i="8"/>
  <c r="R436" i="8"/>
  <c r="R446" i="8"/>
  <c r="R442" i="8"/>
  <c r="R647" i="8"/>
  <c r="R445" i="8"/>
  <c r="R744" i="5" l="1"/>
  <c r="Q737" i="5"/>
  <c r="R737" i="5"/>
  <c r="R742" i="5"/>
  <c r="R743" i="5"/>
  <c r="Q743" i="5"/>
  <c r="R713" i="5"/>
  <c r="Q714" i="5"/>
  <c r="R714" i="5"/>
  <c r="R740" i="5"/>
  <c r="R741" i="5"/>
  <c r="Q741" i="5"/>
  <c r="Q735" i="5"/>
  <c r="R735" i="5"/>
  <c r="Q736" i="5"/>
  <c r="Q733" i="5"/>
  <c r="Q734" i="5"/>
  <c r="Q726" i="5"/>
  <c r="Q721" i="5"/>
  <c r="Q731" i="5"/>
  <c r="Q720" i="5"/>
  <c r="Q728" i="5"/>
  <c r="Q729" i="5"/>
  <c r="Q716" i="5"/>
  <c r="Q701" i="5"/>
  <c r="Q700" i="5"/>
  <c r="Q696" i="5"/>
  <c r="Q712" i="5"/>
  <c r="Q614" i="5"/>
  <c r="Q703" i="5"/>
  <c r="Q711" i="5"/>
  <c r="Q724" i="5"/>
  <c r="Q732" i="5"/>
  <c r="Q719" i="5"/>
  <c r="Q727" i="5"/>
  <c r="Q718" i="5"/>
  <c r="Q739" i="5"/>
  <c r="Q730" i="5"/>
  <c r="Q717" i="5"/>
  <c r="R725" i="5"/>
  <c r="Q715" i="5"/>
  <c r="Q702" i="5"/>
  <c r="Q672" i="5"/>
  <c r="Q688" i="5"/>
  <c r="Q709" i="5"/>
  <c r="Q699" i="5"/>
  <c r="Q722" i="5"/>
  <c r="Q707" i="5"/>
  <c r="Q697" i="5"/>
  <c r="Q695" i="5"/>
  <c r="Q689" i="5"/>
  <c r="Q690" i="5"/>
  <c r="Q670" i="5"/>
  <c r="Q692" i="5"/>
  <c r="Q693" i="5"/>
  <c r="Q698" i="5"/>
  <c r="Q613" i="5"/>
  <c r="Q694" i="5"/>
  <c r="Q691" i="5"/>
  <c r="Q659" i="5"/>
  <c r="Q684" i="5"/>
  <c r="Q680" i="5"/>
  <c r="R680" i="5"/>
  <c r="Q642" i="5"/>
  <c r="Q687" i="5"/>
  <c r="Q685" i="5"/>
  <c r="Q686" i="5"/>
  <c r="R615" i="5"/>
  <c r="Q615" i="5"/>
  <c r="Q710" i="5"/>
  <c r="Q611" i="5"/>
  <c r="Q723" i="5"/>
  <c r="Q630" i="5"/>
  <c r="Q661" i="5"/>
  <c r="Q666" i="5"/>
  <c r="Q634" i="5"/>
  <c r="Q602" i="5"/>
  <c r="Q678" i="5"/>
  <c r="Q708" i="5"/>
  <c r="R671" i="5"/>
  <c r="Q671" i="5"/>
  <c r="Q590" i="5"/>
  <c r="Q669" i="5"/>
  <c r="Q668" i="5"/>
  <c r="Q654" i="5"/>
  <c r="Q656" i="5"/>
  <c r="Q655" i="5"/>
  <c r="Q662" i="5"/>
  <c r="Q660" i="5"/>
  <c r="Q663" i="5"/>
  <c r="Q657" i="5"/>
  <c r="Q658" i="5"/>
  <c r="Q653" i="5"/>
  <c r="Q667" i="5"/>
  <c r="Q647" i="5"/>
  <c r="Q646" i="5"/>
  <c r="Q648" i="5"/>
  <c r="Q649" i="5"/>
  <c r="Q650" i="5"/>
  <c r="Q639" i="5"/>
  <c r="Q629" i="5"/>
  <c r="Q631" i="5"/>
  <c r="Q636" i="5"/>
  <c r="Q640" i="5"/>
  <c r="Q624" i="5"/>
  <c r="Q637" i="5"/>
  <c r="Q625" i="5"/>
  <c r="Q635" i="5"/>
  <c r="Q641" i="5"/>
  <c r="Q638" i="5"/>
  <c r="Q626" i="5"/>
  <c r="Q632" i="5"/>
  <c r="Q633" i="5"/>
  <c r="Q621" i="5"/>
  <c r="Q623" i="5"/>
  <c r="Q681" i="5"/>
  <c r="R617" i="5"/>
  <c r="Q617" i="5"/>
  <c r="R616" i="5"/>
  <c r="Q616" i="5"/>
  <c r="Q679" i="5"/>
  <c r="R618" i="5"/>
  <c r="Q618" i="5"/>
  <c r="R612" i="5"/>
  <c r="Q612" i="5"/>
  <c r="Q682" i="5"/>
  <c r="R619" i="5"/>
  <c r="Q619" i="5"/>
  <c r="Q601" i="5"/>
  <c r="Q675" i="5"/>
  <c r="Q550" i="5"/>
  <c r="Q587" i="5"/>
  <c r="Q591" i="5"/>
  <c r="R560" i="5"/>
  <c r="Q560" i="5"/>
  <c r="R558" i="5"/>
  <c r="Q558" i="5"/>
  <c r="Q677" i="5"/>
  <c r="Q673" i="5"/>
  <c r="Q674" i="5"/>
  <c r="Q664" i="5"/>
  <c r="R664" i="5"/>
  <c r="Q604" i="5"/>
  <c r="R604" i="5"/>
  <c r="Q652" i="5"/>
  <c r="Q651" i="5"/>
  <c r="Q622" i="5"/>
  <c r="R622" i="5"/>
  <c r="R568" i="5"/>
  <c r="Q568" i="5"/>
  <c r="Q610" i="5"/>
  <c r="Q598" i="5"/>
  <c r="R578" i="5"/>
  <c r="Q608" i="5"/>
  <c r="Q605" i="5"/>
  <c r="Q600" i="5"/>
  <c r="Q609" i="5"/>
  <c r="Q606" i="5"/>
  <c r="Q607" i="5"/>
  <c r="Q518" i="5"/>
  <c r="Q595" i="5"/>
  <c r="Q593" i="5"/>
  <c r="Q582" i="5"/>
  <c r="Q585" i="5"/>
  <c r="Q583" i="5"/>
  <c r="Q584" i="5"/>
  <c r="Q572" i="5"/>
  <c r="Q562" i="5"/>
  <c r="Q567" i="5"/>
  <c r="R494" i="5"/>
  <c r="R599" i="5"/>
  <c r="Q599" i="5"/>
  <c r="Q576" i="5"/>
  <c r="Q493" i="5"/>
  <c r="R493" i="5"/>
  <c r="Q597" i="5"/>
  <c r="Q577" i="5"/>
  <c r="Q596" i="5"/>
  <c r="Q519" i="5"/>
  <c r="Q589" i="5"/>
  <c r="Q592" i="5"/>
  <c r="R603" i="5"/>
  <c r="Q594" i="5"/>
  <c r="Q575" i="5"/>
  <c r="Q588" i="5"/>
  <c r="Q520" i="5"/>
  <c r="Q570" i="5"/>
  <c r="R570" i="5"/>
  <c r="Q571" i="5"/>
  <c r="Q555" i="5"/>
  <c r="Q563" i="5"/>
  <c r="Q569" i="5"/>
  <c r="Q565" i="5"/>
  <c r="Q564" i="5"/>
  <c r="Q566" i="5"/>
  <c r="R538" i="5"/>
  <c r="Q538" i="5"/>
  <c r="Q557" i="5"/>
  <c r="Q517" i="5"/>
  <c r="Q556" i="5"/>
  <c r="Q402" i="5"/>
  <c r="Q559" i="5"/>
  <c r="Q554" i="5"/>
  <c r="Q515" i="5"/>
  <c r="Q441" i="5"/>
  <c r="Q551" i="5"/>
  <c r="Q552" i="5"/>
  <c r="Q534" i="5"/>
  <c r="Q542" i="5"/>
  <c r="Q544" i="5"/>
  <c r="Q547" i="5"/>
  <c r="Q532" i="5"/>
  <c r="Q531" i="5"/>
  <c r="Q527" i="5"/>
  <c r="Q511" i="5"/>
  <c r="Q513" i="5"/>
  <c r="Q506" i="5"/>
  <c r="Q505" i="5"/>
  <c r="Q501" i="5"/>
  <c r="Q553" i="5"/>
  <c r="Q548" i="5"/>
  <c r="Q546" i="5"/>
  <c r="Q470" i="5"/>
  <c r="R470" i="5"/>
  <c r="R549" i="5"/>
  <c r="Q492" i="5"/>
  <c r="R492" i="5"/>
  <c r="R504" i="5"/>
  <c r="Q516" i="5"/>
  <c r="R516" i="5"/>
  <c r="Q539" i="5"/>
  <c r="R376" i="5"/>
  <c r="Q376" i="5"/>
  <c r="Q540" i="5"/>
  <c r="Q536" i="5"/>
  <c r="Q545" i="5"/>
  <c r="R530" i="5"/>
  <c r="Q533" i="5"/>
  <c r="R533" i="5"/>
  <c r="Q543" i="5"/>
  <c r="Q529" i="5"/>
  <c r="Q541" i="5"/>
  <c r="Q528" i="5"/>
  <c r="Q514" i="5"/>
  <c r="Q510" i="5"/>
  <c r="Q537" i="5"/>
  <c r="Q512" i="5"/>
  <c r="Q526" i="5"/>
  <c r="Q535" i="5"/>
  <c r="Q507" i="5"/>
  <c r="Q508" i="5"/>
  <c r="Q509" i="5"/>
  <c r="Q525" i="5"/>
  <c r="Q503" i="5"/>
  <c r="Q502" i="5"/>
  <c r="Q498" i="5"/>
  <c r="Q524" i="5"/>
  <c r="Q500" i="5"/>
  <c r="Q499" i="5"/>
  <c r="Q496" i="5"/>
  <c r="Q497" i="5"/>
  <c r="Q490" i="5"/>
  <c r="R495" i="5"/>
  <c r="Q495" i="5"/>
  <c r="Q489" i="5"/>
  <c r="Q435" i="5"/>
  <c r="R435" i="5"/>
  <c r="Q445" i="5"/>
  <c r="R445" i="5"/>
  <c r="Q448" i="5"/>
  <c r="R448" i="5"/>
  <c r="Q450" i="5"/>
  <c r="R450" i="5"/>
  <c r="Q459" i="5"/>
  <c r="R459" i="5"/>
  <c r="Q453" i="5"/>
  <c r="R453" i="5"/>
  <c r="Q461" i="5"/>
  <c r="R461" i="5"/>
  <c r="Q468" i="5"/>
  <c r="Q463" i="5"/>
  <c r="Q469" i="5"/>
  <c r="R469" i="5"/>
  <c r="Q474" i="5"/>
  <c r="R474" i="5"/>
  <c r="Q480" i="5"/>
  <c r="Q479" i="5"/>
  <c r="Q476" i="5"/>
  <c r="Q481" i="5"/>
  <c r="Q486" i="5"/>
  <c r="Q487" i="5"/>
  <c r="Q488" i="5"/>
  <c r="Q483" i="5"/>
  <c r="Q485" i="5"/>
  <c r="Q482" i="5"/>
  <c r="Q478" i="5"/>
  <c r="Q449" i="5"/>
  <c r="Q477" i="5"/>
  <c r="Q466" i="5"/>
  <c r="R466" i="5"/>
  <c r="Q415" i="5"/>
  <c r="Q464" i="5"/>
  <c r="R464" i="5"/>
  <c r="Q473" i="5"/>
  <c r="R475" i="5"/>
  <c r="Q475" i="5"/>
  <c r="Q471" i="5"/>
  <c r="Q456" i="5"/>
  <c r="R462" i="5"/>
  <c r="Q462" i="5"/>
  <c r="Q460" i="5"/>
  <c r="Q452" i="5"/>
  <c r="Q437" i="5"/>
  <c r="Q447" i="5"/>
  <c r="Q455" i="5"/>
  <c r="Q457" i="5"/>
  <c r="Q446" i="5"/>
  <c r="Q451" i="5"/>
  <c r="Q436" i="5"/>
  <c r="Q439" i="5"/>
  <c r="Q434" i="5"/>
  <c r="Q438" i="5"/>
  <c r="Q440" i="5"/>
  <c r="Q432" i="5"/>
  <c r="Q361" i="5"/>
  <c r="Q433" i="5"/>
  <c r="R458" i="5"/>
  <c r="H429" i="5"/>
  <c r="T429" i="5" s="1"/>
  <c r="O429" i="5"/>
  <c r="E472" i="5"/>
  <c r="G472" i="5" s="1"/>
  <c r="H419" i="5"/>
  <c r="T419" i="5" s="1"/>
  <c r="O419" i="5"/>
  <c r="H427" i="5"/>
  <c r="T427" i="5" s="1"/>
  <c r="O472" i="5" l="1"/>
  <c r="H472" i="5"/>
  <c r="T472" i="5" s="1"/>
  <c r="E133" i="5"/>
  <c r="H426" i="5"/>
  <c r="T426" i="5" s="1"/>
  <c r="O426" i="5"/>
  <c r="E424" i="5"/>
  <c r="O424" i="5" s="1"/>
  <c r="E423" i="5"/>
  <c r="H423" i="5" s="1"/>
  <c r="T423" i="5" s="1"/>
  <c r="H428" i="5"/>
  <c r="T428" i="5" s="1"/>
  <c r="O428" i="5"/>
  <c r="H454" i="5"/>
  <c r="T454" i="5" s="1"/>
  <c r="O454" i="5"/>
  <c r="H420" i="5"/>
  <c r="T420" i="5" s="1"/>
  <c r="H425" i="5"/>
  <c r="T425" i="5" s="1"/>
  <c r="O425" i="5"/>
  <c r="H406" i="5"/>
  <c r="T406" i="5" s="1"/>
  <c r="O406" i="5"/>
  <c r="H414" i="5"/>
  <c r="T414" i="5" s="1"/>
  <c r="O414" i="5"/>
  <c r="H410" i="5"/>
  <c r="T410" i="5" s="1"/>
  <c r="O410" i="5"/>
  <c r="H405" i="5"/>
  <c r="O405" i="5"/>
  <c r="T405" i="5"/>
  <c r="E338" i="5"/>
  <c r="O338" i="5"/>
  <c r="T338" i="5"/>
  <c r="R422" i="8"/>
  <c r="R353" i="8"/>
  <c r="P433" i="8"/>
  <c r="O433" i="8"/>
  <c r="N433" i="8"/>
  <c r="R433" i="8"/>
  <c r="R376" i="8"/>
  <c r="R429" i="8"/>
  <c r="R451" i="8"/>
  <c r="R426" i="8"/>
  <c r="R792" i="8"/>
  <c r="R434" i="8"/>
  <c r="R420" i="8"/>
  <c r="R354" i="8"/>
  <c r="P361" i="8"/>
  <c r="O361" i="8"/>
  <c r="N361" i="8"/>
  <c r="R361" i="8"/>
  <c r="R384" i="8"/>
  <c r="R336" i="8"/>
  <c r="R302" i="8"/>
  <c r="R373" i="8"/>
  <c r="P346" i="8"/>
  <c r="O346" i="8"/>
  <c r="N346" i="8"/>
  <c r="R346" i="8"/>
  <c r="P402" i="8"/>
  <c r="O402" i="8"/>
  <c r="N402" i="8"/>
  <c r="R402" i="8"/>
  <c r="P401" i="8"/>
  <c r="O401" i="8"/>
  <c r="N401" i="8"/>
  <c r="R401" i="8"/>
  <c r="R364" i="8"/>
  <c r="R352" i="8"/>
  <c r="R441" i="8"/>
  <c r="R343" i="8"/>
  <c r="R332" i="8"/>
  <c r="R405" i="8"/>
  <c r="P408" i="8"/>
  <c r="O408" i="8"/>
  <c r="N408" i="8"/>
  <c r="R408" i="8"/>
  <c r="P273" i="8"/>
  <c r="O273" i="8"/>
  <c r="N273" i="8"/>
  <c r="R273" i="8"/>
  <c r="P215" i="8"/>
  <c r="O215" i="8"/>
  <c r="N215" i="8"/>
  <c r="R215" i="8"/>
  <c r="P183" i="8"/>
  <c r="O183" i="8"/>
  <c r="N183" i="8"/>
  <c r="R183" i="8"/>
  <c r="P177" i="8"/>
  <c r="O177" i="8"/>
  <c r="N177" i="8"/>
  <c r="R177" i="8"/>
  <c r="P399" i="8"/>
  <c r="O399" i="8"/>
  <c r="N399" i="8"/>
  <c r="R399" i="8"/>
  <c r="P394" i="8"/>
  <c r="O394" i="8"/>
  <c r="N394" i="8"/>
  <c r="R394" i="8"/>
  <c r="R414" i="8"/>
  <c r="R371" i="8"/>
  <c r="R370" i="8"/>
  <c r="R351" i="8"/>
  <c r="R428" i="8"/>
  <c r="P303" i="8"/>
  <c r="O303" i="8"/>
  <c r="N303" i="8"/>
  <c r="R303" i="8"/>
  <c r="R425" i="8"/>
  <c r="R419" i="8"/>
  <c r="R418" i="8"/>
  <c r="R395" i="8"/>
  <c r="R358" i="8"/>
  <c r="P292" i="8"/>
  <c r="O292" i="8"/>
  <c r="N292" i="8"/>
  <c r="R292" i="8"/>
  <c r="P381" i="8"/>
  <c r="O381" i="8"/>
  <c r="N381" i="8"/>
  <c r="R381" i="8"/>
  <c r="P306" i="8"/>
  <c r="O306" i="8"/>
  <c r="N306" i="8"/>
  <c r="R306" i="8"/>
  <c r="R510" i="8"/>
  <c r="P362" i="8"/>
  <c r="O362" i="8"/>
  <c r="N362" i="8"/>
  <c r="R362" i="8"/>
  <c r="P338" i="8"/>
  <c r="O338" i="8"/>
  <c r="N338" i="8"/>
  <c r="R338" i="8"/>
  <c r="P327" i="8"/>
  <c r="O327" i="8"/>
  <c r="N327" i="8"/>
  <c r="R327" i="8"/>
  <c r="P326" i="8"/>
  <c r="O326" i="8"/>
  <c r="N326" i="8"/>
  <c r="R326" i="8"/>
  <c r="R315" i="8"/>
  <c r="R325" i="8"/>
  <c r="P283" i="8"/>
  <c r="O283" i="8"/>
  <c r="N283" i="8"/>
  <c r="R283" i="8"/>
  <c r="P366" i="8"/>
  <c r="O366" i="8"/>
  <c r="N366" i="8"/>
  <c r="R366" i="8"/>
  <c r="P368" i="8"/>
  <c r="O368" i="8"/>
  <c r="N368" i="8"/>
  <c r="R368" i="8"/>
  <c r="P367" i="8"/>
  <c r="O367" i="8"/>
  <c r="N367" i="8"/>
  <c r="R367" i="8"/>
  <c r="R535" i="8"/>
  <c r="R410" i="8"/>
  <c r="R324" i="8"/>
  <c r="P369" i="8"/>
  <c r="O369" i="8"/>
  <c r="N369" i="8"/>
  <c r="R369" i="8"/>
  <c r="R455" i="8"/>
  <c r="R417" i="8"/>
  <c r="R393" i="8"/>
  <c r="R322" i="8"/>
  <c r="P359" i="8"/>
  <c r="O359" i="8"/>
  <c r="N359" i="8"/>
  <c r="R359" i="8"/>
  <c r="P360" i="8"/>
  <c r="O360" i="8"/>
  <c r="N360" i="8"/>
  <c r="R360" i="8"/>
  <c r="R318" i="8"/>
  <c r="R321" i="8"/>
  <c r="P355" i="8"/>
  <c r="O355" i="8"/>
  <c r="N355" i="8"/>
  <c r="R355" i="8"/>
  <c r="R391" i="8"/>
  <c r="R409" i="8"/>
  <c r="R400" i="8"/>
  <c r="P357" i="8"/>
  <c r="O357" i="8"/>
  <c r="N357" i="8"/>
  <c r="R357" i="8"/>
  <c r="P312" i="8"/>
  <c r="O312" i="8"/>
  <c r="N312" i="8"/>
  <c r="R312" i="8"/>
  <c r="P347" i="8"/>
  <c r="O347" i="8"/>
  <c r="N347" i="8"/>
  <c r="R347" i="8"/>
  <c r="R470" i="8"/>
  <c r="P349" i="8"/>
  <c r="O349" i="8"/>
  <c r="N349" i="8"/>
  <c r="R349" i="8"/>
  <c r="P348" i="8"/>
  <c r="O348" i="8"/>
  <c r="N348" i="8"/>
  <c r="R348" i="8"/>
  <c r="P344" i="8"/>
  <c r="O344" i="8"/>
  <c r="N344" i="8"/>
  <c r="R344" i="8"/>
  <c r="R456" i="8"/>
  <c r="P345" i="8"/>
  <c r="O345" i="8"/>
  <c r="N345" i="8"/>
  <c r="R345" i="8"/>
  <c r="R423" i="8"/>
  <c r="P339" i="8"/>
  <c r="O339" i="8"/>
  <c r="N339" i="8"/>
  <c r="R339" i="8"/>
  <c r="P342" i="8"/>
  <c r="O342" i="8"/>
  <c r="N342" i="8"/>
  <c r="R342" i="8"/>
  <c r="P341" i="8"/>
  <c r="O341" i="8"/>
  <c r="N341" i="8"/>
  <c r="R341" i="8"/>
  <c r="P340" i="8"/>
  <c r="O340" i="8"/>
  <c r="N340" i="8"/>
  <c r="R340" i="8"/>
  <c r="R421" i="8"/>
  <c r="P334" i="8"/>
  <c r="O334" i="8"/>
  <c r="N334" i="8"/>
  <c r="R334" i="8"/>
  <c r="P333" i="8"/>
  <c r="O333" i="8"/>
  <c r="N333" i="8"/>
  <c r="R333" i="8"/>
  <c r="P337" i="8"/>
  <c r="O337" i="8"/>
  <c r="N337" i="8"/>
  <c r="R337" i="8"/>
  <c r="P335" i="8"/>
  <c r="O335" i="8"/>
  <c r="N335" i="8"/>
  <c r="R335" i="8"/>
  <c r="R385" i="8"/>
  <c r="P330" i="8"/>
  <c r="O330" i="8"/>
  <c r="N330" i="8"/>
  <c r="R330" i="8"/>
  <c r="P331" i="8"/>
  <c r="O331" i="8"/>
  <c r="N331" i="8"/>
  <c r="R331" i="8"/>
  <c r="R380" i="8"/>
  <c r="R413" i="8"/>
  <c r="P328" i="8"/>
  <c r="O328" i="8"/>
  <c r="N328" i="8"/>
  <c r="R328" i="8"/>
  <c r="R411" i="8"/>
  <c r="P329" i="8"/>
  <c r="O329" i="8"/>
  <c r="N329" i="8"/>
  <c r="R329" i="8"/>
  <c r="R398" i="8"/>
  <c r="P323" i="8"/>
  <c r="O323" i="8"/>
  <c r="N323" i="8"/>
  <c r="R323" i="8"/>
  <c r="R390" i="8"/>
  <c r="P319" i="8"/>
  <c r="O319" i="8"/>
  <c r="N319" i="8"/>
  <c r="R319" i="8"/>
  <c r="R389" i="8"/>
  <c r="R388" i="8"/>
  <c r="R387" i="8"/>
  <c r="P317" i="8"/>
  <c r="O317" i="8"/>
  <c r="N317" i="8"/>
  <c r="R317" i="8"/>
  <c r="P316" i="8"/>
  <c r="O316" i="8"/>
  <c r="N316" i="8"/>
  <c r="R316" i="8"/>
  <c r="R382" i="8"/>
  <c r="R437" i="8"/>
  <c r="P314" i="8"/>
  <c r="O314" i="8"/>
  <c r="N314" i="8"/>
  <c r="R314" i="8"/>
  <c r="P313" i="8"/>
  <c r="O313" i="8"/>
  <c r="N313" i="8"/>
  <c r="R313" i="8"/>
  <c r="P308" i="8"/>
  <c r="O308" i="8"/>
  <c r="N308" i="8"/>
  <c r="R308" i="8"/>
  <c r="R305" i="8"/>
  <c r="P365" i="8"/>
  <c r="O365" i="8"/>
  <c r="N365" i="8"/>
  <c r="R365" i="8"/>
  <c r="P307" i="8"/>
  <c r="O307" i="8"/>
  <c r="N307" i="8"/>
  <c r="R307" i="8"/>
  <c r="P311" i="8"/>
  <c r="O311" i="8"/>
  <c r="N311" i="8"/>
  <c r="R311" i="8"/>
  <c r="P310" i="8"/>
  <c r="O310" i="8"/>
  <c r="N310" i="8"/>
  <c r="R310" i="8"/>
  <c r="P309" i="8"/>
  <c r="O309" i="8"/>
  <c r="N309" i="8"/>
  <c r="R309" i="8"/>
  <c r="R279" i="8"/>
  <c r="R583" i="8"/>
  <c r="P304" i="8"/>
  <c r="O304" i="8"/>
  <c r="N304" i="8"/>
  <c r="R304" i="8"/>
  <c r="P298" i="8"/>
  <c r="O298" i="8"/>
  <c r="N298" i="8"/>
  <c r="R298" i="8"/>
  <c r="P301" i="8"/>
  <c r="O301" i="8"/>
  <c r="N301" i="8"/>
  <c r="R301" i="8"/>
  <c r="P300" i="8"/>
  <c r="O300" i="8"/>
  <c r="N300" i="8"/>
  <c r="R300" i="8"/>
  <c r="P299" i="8"/>
  <c r="O299" i="8"/>
  <c r="N299" i="8"/>
  <c r="R299" i="8"/>
  <c r="P297" i="8"/>
  <c r="O297" i="8"/>
  <c r="N297" i="8"/>
  <c r="R297" i="8"/>
  <c r="P296" i="8"/>
  <c r="O296" i="8"/>
  <c r="N296" i="8"/>
  <c r="R296" i="8"/>
  <c r="R438" i="8"/>
  <c r="P291" i="8"/>
  <c r="O291" i="8"/>
  <c r="N291" i="8"/>
  <c r="R291" i="8"/>
  <c r="P290" i="8"/>
  <c r="O290" i="8"/>
  <c r="N290" i="8"/>
  <c r="R290" i="8"/>
  <c r="P295" i="8"/>
  <c r="O295" i="8"/>
  <c r="N295" i="8"/>
  <c r="R295" i="8"/>
  <c r="P294" i="8"/>
  <c r="O294" i="8"/>
  <c r="N294" i="8"/>
  <c r="R294" i="8"/>
  <c r="P293" i="8"/>
  <c r="O293" i="8"/>
  <c r="N293" i="8"/>
  <c r="R293" i="8"/>
  <c r="P288" i="8"/>
  <c r="O288" i="8"/>
  <c r="N288" i="8"/>
  <c r="R288" i="8"/>
  <c r="P289" i="8"/>
  <c r="O289" i="8"/>
  <c r="N289" i="8"/>
  <c r="R289" i="8"/>
  <c r="P285" i="8"/>
  <c r="O285" i="8"/>
  <c r="N285" i="8"/>
  <c r="R285" i="8"/>
  <c r="P284" i="8"/>
  <c r="O284" i="8"/>
  <c r="N284" i="8"/>
  <c r="R284" i="8"/>
  <c r="P282" i="8"/>
  <c r="O282" i="8"/>
  <c r="N282" i="8"/>
  <c r="R282" i="8"/>
  <c r="P287" i="8"/>
  <c r="O287" i="8"/>
  <c r="N287" i="8"/>
  <c r="R287" i="8"/>
  <c r="P286" i="8"/>
  <c r="O286" i="8"/>
  <c r="N286" i="8"/>
  <c r="R286" i="8"/>
  <c r="R431" i="8"/>
  <c r="P407" i="8"/>
  <c r="O407" i="8"/>
  <c r="N407" i="8"/>
  <c r="R407" i="8"/>
  <c r="P281" i="8"/>
  <c r="O281" i="8"/>
  <c r="N281" i="8"/>
  <c r="R281" i="8"/>
  <c r="P280" i="8"/>
  <c r="O280" i="8"/>
  <c r="N280" i="8"/>
  <c r="R280" i="8"/>
  <c r="P278" i="8"/>
  <c r="O278" i="8"/>
  <c r="N278" i="8"/>
  <c r="R278" i="8"/>
  <c r="P277" i="8"/>
  <c r="O277" i="8"/>
  <c r="N277" i="8"/>
  <c r="R277" i="8"/>
  <c r="P276" i="8"/>
  <c r="O276" i="8"/>
  <c r="N276" i="8"/>
  <c r="R276" i="8"/>
  <c r="R610" i="8"/>
  <c r="P272" i="8"/>
  <c r="O272" i="8"/>
  <c r="N272" i="8"/>
  <c r="R272" i="8"/>
  <c r="P275" i="8"/>
  <c r="O275" i="8"/>
  <c r="N275" i="8"/>
  <c r="R275" i="8"/>
  <c r="P274" i="8"/>
  <c r="O274" i="8"/>
  <c r="N274" i="8"/>
  <c r="R274" i="8"/>
  <c r="R271" i="8"/>
  <c r="R270" i="8"/>
  <c r="P269" i="8"/>
  <c r="O269" i="8"/>
  <c r="N269" i="8"/>
  <c r="R269" i="8"/>
  <c r="P268" i="8"/>
  <c r="O268" i="8"/>
  <c r="N268" i="8"/>
  <c r="R268" i="8"/>
  <c r="P267" i="8"/>
  <c r="O267" i="8"/>
  <c r="N267" i="8"/>
  <c r="R267" i="8"/>
  <c r="P266" i="8"/>
  <c r="O266" i="8"/>
  <c r="N266" i="8"/>
  <c r="R266" i="8"/>
  <c r="P258" i="8"/>
  <c r="O258" i="8"/>
  <c r="N258" i="8"/>
  <c r="R258" i="8"/>
  <c r="P265" i="8"/>
  <c r="O265" i="8"/>
  <c r="N265" i="8"/>
  <c r="R265" i="8"/>
  <c r="P264" i="8"/>
  <c r="O264" i="8"/>
  <c r="N264" i="8"/>
  <c r="R264" i="8"/>
  <c r="P263" i="8"/>
  <c r="O263" i="8"/>
  <c r="N263" i="8"/>
  <c r="R263" i="8"/>
  <c r="P262" i="8"/>
  <c r="O262" i="8"/>
  <c r="N262" i="8"/>
  <c r="R262" i="8"/>
  <c r="P261" i="8"/>
  <c r="O261" i="8"/>
  <c r="N261" i="8"/>
  <c r="R261" i="8"/>
  <c r="P260" i="8"/>
  <c r="O260" i="8"/>
  <c r="N260" i="8"/>
  <c r="R260" i="8"/>
  <c r="P259" i="8"/>
  <c r="O259" i="8"/>
  <c r="N259" i="8"/>
  <c r="R259" i="8"/>
  <c r="P256" i="8"/>
  <c r="O256" i="8"/>
  <c r="N256" i="8"/>
  <c r="R256" i="8"/>
  <c r="P257" i="8"/>
  <c r="O257" i="8"/>
  <c r="N257" i="8"/>
  <c r="R257" i="8"/>
  <c r="P255" i="8"/>
  <c r="O255" i="8"/>
  <c r="N255" i="8"/>
  <c r="R255" i="8"/>
  <c r="P254" i="8"/>
  <c r="O254" i="8"/>
  <c r="N254" i="8"/>
  <c r="R254" i="8"/>
  <c r="P253" i="8"/>
  <c r="O253" i="8"/>
  <c r="N253" i="8"/>
  <c r="R253" i="8"/>
  <c r="P252" i="8"/>
  <c r="O252" i="8"/>
  <c r="N252" i="8"/>
  <c r="R252" i="8"/>
  <c r="P249" i="8"/>
  <c r="O249" i="8"/>
  <c r="N249" i="8"/>
  <c r="R249" i="8"/>
  <c r="P248" i="8"/>
  <c r="O248" i="8"/>
  <c r="N248" i="8"/>
  <c r="R248" i="8"/>
  <c r="P247" i="8"/>
  <c r="O247" i="8"/>
  <c r="N247" i="8"/>
  <c r="R247" i="8"/>
  <c r="P251" i="8"/>
  <c r="O251" i="8"/>
  <c r="N251" i="8"/>
  <c r="R251" i="8"/>
  <c r="P250" i="8"/>
  <c r="O250" i="8"/>
  <c r="N250" i="8"/>
  <c r="R250" i="8"/>
  <c r="R406" i="8"/>
  <c r="P245" i="8"/>
  <c r="O245" i="8"/>
  <c r="N245" i="8"/>
  <c r="R245" i="8"/>
  <c r="P244" i="8"/>
  <c r="O244" i="8"/>
  <c r="N244" i="8"/>
  <c r="R244" i="8"/>
  <c r="P243" i="8"/>
  <c r="O243" i="8"/>
  <c r="N243" i="8"/>
  <c r="R243" i="8"/>
  <c r="P242" i="8"/>
  <c r="O242" i="8"/>
  <c r="N242" i="8"/>
  <c r="R242" i="8"/>
  <c r="P241" i="8"/>
  <c r="O241" i="8"/>
  <c r="N241" i="8"/>
  <c r="R241" i="8"/>
  <c r="P240" i="8"/>
  <c r="O240" i="8"/>
  <c r="N240" i="8"/>
  <c r="R240" i="8"/>
  <c r="P239" i="8"/>
  <c r="O239" i="8"/>
  <c r="N239" i="8"/>
  <c r="R239" i="8"/>
  <c r="R374" i="8"/>
  <c r="P238" i="8"/>
  <c r="O238" i="8"/>
  <c r="N238" i="8"/>
  <c r="R238" i="8"/>
  <c r="P237" i="8"/>
  <c r="O237" i="8"/>
  <c r="N237" i="8"/>
  <c r="R237" i="8"/>
  <c r="P236" i="8"/>
  <c r="O236" i="8"/>
  <c r="N236" i="8"/>
  <c r="R236" i="8"/>
  <c r="P235" i="8"/>
  <c r="O235" i="8"/>
  <c r="N235" i="8"/>
  <c r="R235" i="8"/>
  <c r="P234" i="8"/>
  <c r="O234" i="8"/>
  <c r="N234" i="8"/>
  <c r="R234" i="8"/>
  <c r="P233" i="8"/>
  <c r="O233" i="8"/>
  <c r="N233" i="8"/>
  <c r="R233" i="8"/>
  <c r="P232" i="8"/>
  <c r="O232" i="8"/>
  <c r="N232" i="8"/>
  <c r="R232" i="8"/>
  <c r="R246" i="8"/>
  <c r="P230" i="8"/>
  <c r="O230" i="8"/>
  <c r="N230" i="8"/>
  <c r="R230" i="8"/>
  <c r="P229" i="8"/>
  <c r="O229" i="8"/>
  <c r="N229" i="8"/>
  <c r="R229" i="8"/>
  <c r="P228" i="8"/>
  <c r="O228" i="8"/>
  <c r="N228" i="8"/>
  <c r="R228" i="8"/>
  <c r="P227" i="8"/>
  <c r="O227" i="8"/>
  <c r="N227" i="8"/>
  <c r="R227" i="8"/>
  <c r="P226" i="8"/>
  <c r="O226" i="8"/>
  <c r="N226" i="8"/>
  <c r="R226" i="8"/>
  <c r="P225" i="8"/>
  <c r="O225" i="8"/>
  <c r="N225" i="8"/>
  <c r="R225" i="8"/>
  <c r="P223" i="8"/>
  <c r="O223" i="8"/>
  <c r="N223" i="8"/>
  <c r="R223" i="8"/>
  <c r="P222" i="8"/>
  <c r="O222" i="8"/>
  <c r="N222" i="8"/>
  <c r="R222" i="8"/>
  <c r="P221" i="8"/>
  <c r="O221" i="8"/>
  <c r="N221" i="8"/>
  <c r="R221" i="8"/>
  <c r="P220" i="8"/>
  <c r="O220" i="8"/>
  <c r="N220" i="8"/>
  <c r="R220" i="8"/>
  <c r="P219" i="8"/>
  <c r="O219" i="8"/>
  <c r="N219" i="8"/>
  <c r="R219" i="8"/>
  <c r="P218" i="8"/>
  <c r="O218" i="8"/>
  <c r="N218" i="8"/>
  <c r="R218" i="8"/>
  <c r="P216" i="8"/>
  <c r="O216" i="8"/>
  <c r="N216" i="8"/>
  <c r="R216" i="8"/>
  <c r="R403" i="8"/>
  <c r="P217" i="8"/>
  <c r="O217" i="8"/>
  <c r="N217" i="8"/>
  <c r="R217" i="8"/>
  <c r="P214" i="8"/>
  <c r="O214" i="8"/>
  <c r="N214" i="8"/>
  <c r="R214" i="8"/>
  <c r="P213" i="8"/>
  <c r="O213" i="8"/>
  <c r="N213" i="8"/>
  <c r="R213" i="8"/>
  <c r="P212" i="8"/>
  <c r="O212" i="8"/>
  <c r="N212" i="8"/>
  <c r="R212" i="8"/>
  <c r="R396" i="8"/>
  <c r="P203" i="8"/>
  <c r="O203" i="8"/>
  <c r="N203" i="8"/>
  <c r="R203" i="8"/>
  <c r="P356" i="8"/>
  <c r="O356" i="8"/>
  <c r="N356" i="8"/>
  <c r="R356" i="8"/>
  <c r="P210" i="8"/>
  <c r="O210" i="8"/>
  <c r="N210" i="8"/>
  <c r="R210" i="8"/>
  <c r="P208" i="8"/>
  <c r="O208" i="8"/>
  <c r="N208" i="8"/>
  <c r="R208" i="8"/>
  <c r="P207" i="8"/>
  <c r="O207" i="8"/>
  <c r="N207" i="8"/>
  <c r="R207" i="8"/>
  <c r="F207" i="8"/>
  <c r="P206" i="8"/>
  <c r="O206" i="8"/>
  <c r="N206" i="8"/>
  <c r="R206" i="8"/>
  <c r="P205" i="8"/>
  <c r="O205" i="8"/>
  <c r="N205" i="8"/>
  <c r="R205" i="8"/>
  <c r="P204" i="8"/>
  <c r="O204" i="8"/>
  <c r="N204" i="8"/>
  <c r="R204" i="8"/>
  <c r="P202" i="8"/>
  <c r="O202" i="8"/>
  <c r="N202" i="8"/>
  <c r="R202" i="8"/>
  <c r="P201" i="8"/>
  <c r="O201" i="8"/>
  <c r="N201" i="8"/>
  <c r="R201" i="8"/>
  <c r="P200" i="8"/>
  <c r="O200" i="8"/>
  <c r="N200" i="8"/>
  <c r="R200" i="8"/>
  <c r="P199" i="8"/>
  <c r="O199" i="8"/>
  <c r="N199" i="8"/>
  <c r="R199" i="8"/>
  <c r="P198" i="8"/>
  <c r="O198" i="8"/>
  <c r="N198" i="8"/>
  <c r="R198" i="8"/>
  <c r="P197" i="8"/>
  <c r="O197" i="8"/>
  <c r="N197" i="8"/>
  <c r="R197" i="8"/>
  <c r="P196" i="8"/>
  <c r="O196" i="8"/>
  <c r="N196" i="8"/>
  <c r="R196" i="8"/>
  <c r="P195" i="8"/>
  <c r="O195" i="8"/>
  <c r="N195" i="8"/>
  <c r="R195" i="8"/>
  <c r="P194" i="8"/>
  <c r="O194" i="8"/>
  <c r="N194" i="8"/>
  <c r="R194" i="8"/>
  <c r="P190" i="8"/>
  <c r="O190" i="8"/>
  <c r="N190" i="8"/>
  <c r="R190" i="8"/>
  <c r="P193" i="8"/>
  <c r="O193" i="8"/>
  <c r="N193" i="8"/>
  <c r="R193" i="8"/>
  <c r="P192" i="8"/>
  <c r="O192" i="8"/>
  <c r="N192" i="8"/>
  <c r="R192" i="8"/>
  <c r="P191" i="8"/>
  <c r="O191" i="8"/>
  <c r="N191" i="8"/>
  <c r="R191" i="8"/>
  <c r="P189" i="8"/>
  <c r="O189" i="8"/>
  <c r="N189" i="8"/>
  <c r="R189" i="8"/>
  <c r="P188" i="8"/>
  <c r="O188" i="8"/>
  <c r="N188" i="8"/>
  <c r="R188" i="8"/>
  <c r="P187" i="8"/>
  <c r="O187" i="8"/>
  <c r="N187" i="8"/>
  <c r="R187" i="8"/>
  <c r="P186" i="8"/>
  <c r="O186" i="8"/>
  <c r="N186" i="8"/>
  <c r="R186" i="8"/>
  <c r="R432" i="8"/>
  <c r="P185" i="8"/>
  <c r="O185" i="8"/>
  <c r="N185" i="8"/>
  <c r="R185" i="8"/>
  <c r="P184" i="8"/>
  <c r="O184" i="8"/>
  <c r="N184" i="8"/>
  <c r="R184" i="8"/>
  <c r="R379" i="8"/>
  <c r="P182" i="8"/>
  <c r="O182" i="8"/>
  <c r="N182" i="8"/>
  <c r="R182" i="8"/>
  <c r="P181" i="8"/>
  <c r="O181" i="8"/>
  <c r="N181" i="8"/>
  <c r="R181" i="8"/>
  <c r="P180" i="8"/>
  <c r="O180" i="8"/>
  <c r="N180" i="8"/>
  <c r="R180" i="8"/>
  <c r="P179" i="8"/>
  <c r="O179" i="8"/>
  <c r="N179" i="8"/>
  <c r="R179" i="8"/>
  <c r="P178" i="8"/>
  <c r="O178" i="8"/>
  <c r="N178" i="8"/>
  <c r="R178" i="8"/>
  <c r="P176" i="8"/>
  <c r="O176" i="8"/>
  <c r="N176" i="8"/>
  <c r="R176" i="8"/>
  <c r="P175" i="8"/>
  <c r="O175" i="8"/>
  <c r="N175" i="8"/>
  <c r="R175" i="8"/>
  <c r="P174" i="8"/>
  <c r="O174" i="8"/>
  <c r="N174" i="8"/>
  <c r="R174" i="8"/>
  <c r="P173" i="8"/>
  <c r="O173" i="8"/>
  <c r="N173" i="8"/>
  <c r="R173" i="8"/>
  <c r="P172" i="8"/>
  <c r="O172" i="8"/>
  <c r="N172" i="8"/>
  <c r="R172" i="8"/>
  <c r="P171" i="8"/>
  <c r="O171" i="8"/>
  <c r="N171" i="8"/>
  <c r="R171" i="8"/>
  <c r="P170" i="8"/>
  <c r="O170" i="8"/>
  <c r="N170" i="8"/>
  <c r="R170" i="8"/>
  <c r="P169" i="8"/>
  <c r="O169" i="8"/>
  <c r="N169" i="8"/>
  <c r="R169" i="8"/>
  <c r="P160" i="8"/>
  <c r="O160" i="8"/>
  <c r="N160" i="8"/>
  <c r="R160" i="8"/>
  <c r="F160" i="8"/>
  <c r="P168" i="8"/>
  <c r="O168" i="8"/>
  <c r="N168" i="8"/>
  <c r="R168" i="8"/>
  <c r="P167" i="8"/>
  <c r="O167" i="8"/>
  <c r="N167" i="8"/>
  <c r="R167" i="8"/>
  <c r="P166" i="8"/>
  <c r="O166" i="8"/>
  <c r="N166" i="8"/>
  <c r="R166" i="8"/>
  <c r="P165" i="8"/>
  <c r="O165" i="8"/>
  <c r="N165" i="8"/>
  <c r="R165" i="8"/>
  <c r="F165" i="8"/>
  <c r="P164" i="8"/>
  <c r="O164" i="8"/>
  <c r="N164" i="8"/>
  <c r="R164" i="8"/>
  <c r="P163" i="8"/>
  <c r="O163" i="8"/>
  <c r="N163" i="8"/>
  <c r="R163" i="8"/>
  <c r="P162" i="8"/>
  <c r="O162" i="8"/>
  <c r="N162" i="8"/>
  <c r="R162" i="8"/>
  <c r="P161" i="8"/>
  <c r="O161" i="8"/>
  <c r="N161" i="8"/>
  <c r="R161" i="8"/>
  <c r="P159" i="8"/>
  <c r="O159" i="8"/>
  <c r="N159" i="8"/>
  <c r="R159" i="8"/>
  <c r="P158" i="8"/>
  <c r="O158" i="8"/>
  <c r="N158" i="8"/>
  <c r="R158" i="8"/>
  <c r="P157" i="8"/>
  <c r="O157" i="8"/>
  <c r="N157" i="8"/>
  <c r="R157" i="8"/>
  <c r="P156" i="8"/>
  <c r="O156" i="8"/>
  <c r="N156" i="8"/>
  <c r="R156" i="8"/>
  <c r="P155" i="8"/>
  <c r="O155" i="8"/>
  <c r="N155" i="8"/>
  <c r="R155" i="8"/>
  <c r="P154" i="8"/>
  <c r="O154" i="8"/>
  <c r="N154" i="8"/>
  <c r="R154" i="8"/>
  <c r="P153" i="8"/>
  <c r="O153" i="8"/>
  <c r="N153" i="8"/>
  <c r="R153" i="8"/>
  <c r="P152" i="8"/>
  <c r="O152" i="8"/>
  <c r="N152" i="8"/>
  <c r="R152" i="8"/>
  <c r="P151" i="8"/>
  <c r="O151" i="8"/>
  <c r="N151" i="8"/>
  <c r="R151" i="8"/>
  <c r="P150" i="8"/>
  <c r="O150" i="8"/>
  <c r="N150" i="8"/>
  <c r="R150" i="8"/>
  <c r="P149" i="8"/>
  <c r="O149" i="8"/>
  <c r="N149" i="8"/>
  <c r="R149" i="8"/>
  <c r="P148" i="8"/>
  <c r="O148" i="8"/>
  <c r="N148" i="8"/>
  <c r="R148" i="8"/>
  <c r="P147" i="8"/>
  <c r="O147" i="8"/>
  <c r="N147" i="8"/>
  <c r="R147" i="8"/>
  <c r="P146" i="8"/>
  <c r="O146" i="8"/>
  <c r="N146" i="8"/>
  <c r="R146" i="8"/>
  <c r="P145" i="8"/>
  <c r="O145" i="8"/>
  <c r="N145" i="8"/>
  <c r="R145" i="8"/>
  <c r="R427" i="8"/>
  <c r="P144" i="8"/>
  <c r="O144" i="8"/>
  <c r="N144" i="8"/>
  <c r="R144" i="8"/>
  <c r="P143" i="8"/>
  <c r="O143" i="8"/>
  <c r="N143" i="8"/>
  <c r="R143" i="8"/>
  <c r="P142" i="8"/>
  <c r="O142" i="8"/>
  <c r="N142" i="8"/>
  <c r="R142" i="8"/>
  <c r="P141" i="8"/>
  <c r="O141" i="8"/>
  <c r="N141" i="8"/>
  <c r="R141" i="8"/>
  <c r="P139" i="8"/>
  <c r="O139" i="8"/>
  <c r="N139" i="8"/>
  <c r="R139" i="8"/>
  <c r="P138" i="8"/>
  <c r="O138" i="8"/>
  <c r="N138" i="8"/>
  <c r="R138" i="8"/>
  <c r="P137" i="8"/>
  <c r="O137" i="8"/>
  <c r="N137" i="8"/>
  <c r="R137" i="8"/>
  <c r="P136" i="8"/>
  <c r="O136" i="8"/>
  <c r="N136" i="8"/>
  <c r="R136" i="8"/>
  <c r="P135" i="8"/>
  <c r="O135" i="8"/>
  <c r="N135" i="8"/>
  <c r="R135" i="8"/>
  <c r="P134" i="8"/>
  <c r="O134" i="8"/>
  <c r="N134" i="8"/>
  <c r="R134" i="8"/>
  <c r="P133" i="8"/>
  <c r="O133" i="8"/>
  <c r="N133" i="8"/>
  <c r="R133" i="8"/>
  <c r="P132" i="8"/>
  <c r="O132" i="8"/>
  <c r="N132" i="8"/>
  <c r="R132" i="8"/>
  <c r="P131" i="8"/>
  <c r="O131" i="8"/>
  <c r="N131" i="8"/>
  <c r="R131" i="8"/>
  <c r="P130" i="8"/>
  <c r="O130" i="8"/>
  <c r="N130" i="8"/>
  <c r="R130" i="8"/>
  <c r="P129" i="8"/>
  <c r="O129" i="8"/>
  <c r="N129" i="8"/>
  <c r="R129" i="8"/>
  <c r="P128" i="8"/>
  <c r="O128" i="8"/>
  <c r="N128" i="8"/>
  <c r="R128" i="8"/>
  <c r="P127" i="8"/>
  <c r="O127" i="8"/>
  <c r="N127" i="8"/>
  <c r="R127" i="8"/>
  <c r="P126" i="8"/>
  <c r="O126" i="8"/>
  <c r="N126" i="8"/>
  <c r="R126" i="8"/>
  <c r="P125" i="8"/>
  <c r="O125" i="8"/>
  <c r="N125" i="8"/>
  <c r="R125" i="8"/>
  <c r="P124" i="8"/>
  <c r="O124" i="8"/>
  <c r="N124" i="8"/>
  <c r="R124" i="8"/>
  <c r="P123" i="8"/>
  <c r="O123" i="8"/>
  <c r="N123" i="8"/>
  <c r="R123" i="8"/>
  <c r="P122" i="8"/>
  <c r="O122" i="8"/>
  <c r="N122" i="8"/>
  <c r="R122" i="8"/>
  <c r="P121" i="8"/>
  <c r="O121" i="8"/>
  <c r="N121" i="8"/>
  <c r="R121" i="8"/>
  <c r="P120" i="8"/>
  <c r="O120" i="8"/>
  <c r="N120" i="8"/>
  <c r="R120" i="8"/>
  <c r="P119" i="8"/>
  <c r="O119" i="8"/>
  <c r="N119" i="8"/>
  <c r="R119" i="8"/>
  <c r="P118" i="8"/>
  <c r="O118" i="8"/>
  <c r="N118" i="8"/>
  <c r="R118" i="8"/>
  <c r="P117" i="8"/>
  <c r="O117" i="8"/>
  <c r="N117" i="8"/>
  <c r="R117" i="8"/>
  <c r="P116" i="8"/>
  <c r="O116" i="8"/>
  <c r="N116" i="8"/>
  <c r="R116" i="8"/>
  <c r="P115" i="8"/>
  <c r="O115" i="8"/>
  <c r="N115" i="8"/>
  <c r="R115" i="8"/>
  <c r="P114" i="8"/>
  <c r="O114" i="8"/>
  <c r="N114" i="8"/>
  <c r="R114" i="8"/>
  <c r="P113" i="8"/>
  <c r="O113" i="8"/>
  <c r="N113" i="8"/>
  <c r="R113" i="8"/>
  <c r="P112" i="8"/>
  <c r="O112" i="8"/>
  <c r="N112" i="8"/>
  <c r="R112" i="8"/>
  <c r="P111" i="8"/>
  <c r="O111" i="8"/>
  <c r="N111" i="8"/>
  <c r="R111" i="8"/>
  <c r="P110" i="8"/>
  <c r="O110" i="8"/>
  <c r="N110" i="8"/>
  <c r="R110" i="8"/>
  <c r="P109" i="8"/>
  <c r="O109" i="8"/>
  <c r="N109" i="8"/>
  <c r="R109" i="8"/>
  <c r="P108" i="8"/>
  <c r="O108" i="8"/>
  <c r="N108" i="8"/>
  <c r="R108" i="8"/>
  <c r="P107" i="8"/>
  <c r="O107" i="8"/>
  <c r="N107" i="8"/>
  <c r="R107" i="8"/>
  <c r="P106" i="8"/>
  <c r="O106" i="8"/>
  <c r="N106" i="8"/>
  <c r="R106" i="8"/>
  <c r="P105" i="8"/>
  <c r="O105" i="8"/>
  <c r="N105" i="8"/>
  <c r="R105" i="8"/>
  <c r="P104" i="8"/>
  <c r="O104" i="8"/>
  <c r="N104" i="8"/>
  <c r="R104" i="8"/>
  <c r="P103" i="8"/>
  <c r="O103" i="8"/>
  <c r="N103" i="8"/>
  <c r="R103" i="8"/>
  <c r="P102" i="8"/>
  <c r="O102" i="8"/>
  <c r="N102" i="8"/>
  <c r="R102" i="8"/>
  <c r="P101" i="8"/>
  <c r="O101" i="8"/>
  <c r="N101" i="8"/>
  <c r="R101" i="8"/>
  <c r="P100" i="8"/>
  <c r="O100" i="8"/>
  <c r="N100" i="8"/>
  <c r="R100" i="8"/>
  <c r="P99" i="8"/>
  <c r="O99" i="8"/>
  <c r="N99" i="8"/>
  <c r="R99" i="8"/>
  <c r="P98" i="8"/>
  <c r="O98" i="8"/>
  <c r="N98" i="8"/>
  <c r="R98" i="8"/>
  <c r="P97" i="8"/>
  <c r="O97" i="8"/>
  <c r="N97" i="8"/>
  <c r="R97" i="8"/>
  <c r="P96" i="8"/>
  <c r="O96" i="8"/>
  <c r="N96" i="8"/>
  <c r="R96" i="8"/>
  <c r="P95" i="8"/>
  <c r="O95" i="8"/>
  <c r="N95" i="8"/>
  <c r="R95" i="8"/>
  <c r="P94" i="8"/>
  <c r="O94" i="8"/>
  <c r="N94" i="8"/>
  <c r="R94" i="8"/>
  <c r="P93" i="8"/>
  <c r="O93" i="8"/>
  <c r="N93" i="8"/>
  <c r="R93" i="8"/>
  <c r="P92" i="8"/>
  <c r="O92" i="8"/>
  <c r="N92" i="8"/>
  <c r="R92" i="8"/>
  <c r="P91" i="8"/>
  <c r="O91" i="8"/>
  <c r="N91" i="8"/>
  <c r="R91" i="8"/>
  <c r="P90" i="8"/>
  <c r="O90" i="8"/>
  <c r="N90" i="8"/>
  <c r="R90" i="8"/>
  <c r="P89" i="8"/>
  <c r="O89" i="8"/>
  <c r="N89" i="8"/>
  <c r="R89" i="8"/>
  <c r="P88" i="8"/>
  <c r="O88" i="8"/>
  <c r="N88" i="8"/>
  <c r="R88" i="8"/>
  <c r="P87" i="8"/>
  <c r="O87" i="8"/>
  <c r="N87" i="8"/>
  <c r="R87" i="8"/>
  <c r="P86" i="8"/>
  <c r="O86" i="8"/>
  <c r="N86" i="8"/>
  <c r="R86" i="8"/>
  <c r="P85" i="8"/>
  <c r="O85" i="8"/>
  <c r="N85" i="8"/>
  <c r="R85" i="8"/>
  <c r="P84" i="8"/>
  <c r="O84" i="8"/>
  <c r="N84" i="8"/>
  <c r="R84" i="8"/>
  <c r="P83" i="8"/>
  <c r="O83" i="8"/>
  <c r="N83" i="8"/>
  <c r="R83" i="8"/>
  <c r="P82" i="8"/>
  <c r="O82" i="8"/>
  <c r="N82" i="8"/>
  <c r="R82" i="8"/>
  <c r="P81" i="8"/>
  <c r="O81" i="8"/>
  <c r="N81" i="8"/>
  <c r="R81" i="8"/>
  <c r="P80" i="8"/>
  <c r="O80" i="8"/>
  <c r="N80" i="8"/>
  <c r="R80" i="8"/>
  <c r="P79" i="8"/>
  <c r="O79" i="8"/>
  <c r="N79" i="8"/>
  <c r="R79" i="8"/>
  <c r="P78" i="8"/>
  <c r="O78" i="8"/>
  <c r="N78" i="8"/>
  <c r="R78" i="8"/>
  <c r="P77" i="8"/>
  <c r="O77" i="8"/>
  <c r="N77" i="8"/>
  <c r="R77" i="8"/>
  <c r="P76" i="8"/>
  <c r="O76" i="8"/>
  <c r="N76" i="8"/>
  <c r="R76" i="8"/>
  <c r="P75" i="8"/>
  <c r="O75" i="8"/>
  <c r="N75" i="8"/>
  <c r="R75" i="8"/>
  <c r="P74" i="8"/>
  <c r="O74" i="8"/>
  <c r="N74" i="8"/>
  <c r="R74" i="8"/>
  <c r="P73" i="8"/>
  <c r="O73" i="8"/>
  <c r="N73" i="8"/>
  <c r="R73" i="8"/>
  <c r="P72" i="8"/>
  <c r="O72" i="8"/>
  <c r="N72" i="8"/>
  <c r="R72" i="8"/>
  <c r="P71" i="8"/>
  <c r="O71" i="8"/>
  <c r="N71" i="8"/>
  <c r="R71" i="8"/>
  <c r="P70" i="8"/>
  <c r="O70" i="8"/>
  <c r="N70" i="8"/>
  <c r="R70" i="8"/>
  <c r="P69" i="8"/>
  <c r="O69" i="8"/>
  <c r="N69" i="8"/>
  <c r="R69" i="8"/>
  <c r="P68" i="8"/>
  <c r="O68" i="8"/>
  <c r="N68" i="8"/>
  <c r="R68" i="8"/>
  <c r="P67" i="8"/>
  <c r="O67" i="8"/>
  <c r="N67" i="8"/>
  <c r="R67" i="8"/>
  <c r="P66" i="8"/>
  <c r="O66" i="8"/>
  <c r="N66" i="8"/>
  <c r="R66" i="8"/>
  <c r="P65" i="8"/>
  <c r="O65" i="8"/>
  <c r="N65" i="8"/>
  <c r="R65" i="8"/>
  <c r="P64" i="8"/>
  <c r="O64" i="8"/>
  <c r="N64" i="8"/>
  <c r="R64" i="8"/>
  <c r="P63" i="8"/>
  <c r="O63" i="8"/>
  <c r="N63" i="8"/>
  <c r="R63" i="8"/>
  <c r="P62" i="8"/>
  <c r="O62" i="8"/>
  <c r="N62" i="8"/>
  <c r="R62" i="8"/>
  <c r="P61" i="8"/>
  <c r="O61" i="8"/>
  <c r="N61" i="8"/>
  <c r="R61" i="8"/>
  <c r="P60" i="8"/>
  <c r="O60" i="8"/>
  <c r="N60" i="8"/>
  <c r="R60" i="8"/>
  <c r="P59" i="8"/>
  <c r="O59" i="8"/>
  <c r="N59" i="8"/>
  <c r="R59" i="8"/>
  <c r="P58" i="8"/>
  <c r="O58" i="8"/>
  <c r="N58" i="8"/>
  <c r="R58" i="8"/>
  <c r="P57" i="8"/>
  <c r="O57" i="8"/>
  <c r="N57" i="8"/>
  <c r="R57" i="8"/>
  <c r="P56" i="8"/>
  <c r="O56" i="8"/>
  <c r="N56" i="8"/>
  <c r="R56" i="8"/>
  <c r="P55" i="8"/>
  <c r="O55" i="8"/>
  <c r="N55" i="8"/>
  <c r="R55" i="8"/>
  <c r="P54" i="8"/>
  <c r="O54" i="8"/>
  <c r="N54" i="8"/>
  <c r="R54" i="8"/>
  <c r="P53" i="8"/>
  <c r="O53" i="8"/>
  <c r="N53" i="8"/>
  <c r="R53" i="8"/>
  <c r="P52" i="8"/>
  <c r="O52" i="8"/>
  <c r="N52" i="8"/>
  <c r="R52" i="8"/>
  <c r="P51" i="8"/>
  <c r="O51" i="8"/>
  <c r="N51" i="8"/>
  <c r="R51" i="8"/>
  <c r="P50" i="8"/>
  <c r="O50" i="8"/>
  <c r="N50" i="8"/>
  <c r="R50" i="8"/>
  <c r="P49" i="8"/>
  <c r="O49" i="8"/>
  <c r="N49" i="8"/>
  <c r="R49" i="8"/>
  <c r="P48" i="8"/>
  <c r="O48" i="8"/>
  <c r="N48" i="8"/>
  <c r="R48" i="8"/>
  <c r="P47" i="8"/>
  <c r="O47" i="8"/>
  <c r="N47" i="8"/>
  <c r="R47" i="8"/>
  <c r="P46" i="8"/>
  <c r="O46" i="8"/>
  <c r="N46" i="8"/>
  <c r="R46" i="8"/>
  <c r="P45" i="8"/>
  <c r="O45" i="8"/>
  <c r="N45" i="8"/>
  <c r="R45" i="8"/>
  <c r="P44" i="8"/>
  <c r="O44" i="8"/>
  <c r="N44" i="8"/>
  <c r="R44" i="8"/>
  <c r="P43" i="8"/>
  <c r="O43" i="8"/>
  <c r="N43" i="8"/>
  <c r="R43" i="8"/>
  <c r="P42" i="8"/>
  <c r="O42" i="8"/>
  <c r="N42" i="8"/>
  <c r="R42" i="8"/>
  <c r="P41" i="8"/>
  <c r="O41" i="8"/>
  <c r="N41" i="8"/>
  <c r="R41" i="8"/>
  <c r="P40" i="8"/>
  <c r="O40" i="8"/>
  <c r="N40" i="8"/>
  <c r="R40" i="8"/>
  <c r="P39" i="8"/>
  <c r="O39" i="8"/>
  <c r="N39" i="8"/>
  <c r="R39" i="8"/>
  <c r="P38" i="8"/>
  <c r="O38" i="8"/>
  <c r="N38" i="8"/>
  <c r="R38" i="8"/>
  <c r="P37" i="8"/>
  <c r="O37" i="8"/>
  <c r="N37" i="8"/>
  <c r="R37" i="8"/>
  <c r="P36" i="8"/>
  <c r="O36" i="8"/>
  <c r="N36" i="8"/>
  <c r="R36" i="8"/>
  <c r="P35" i="8"/>
  <c r="O35" i="8"/>
  <c r="N35" i="8"/>
  <c r="R35" i="8"/>
  <c r="P34" i="8"/>
  <c r="O34" i="8"/>
  <c r="N34" i="8"/>
  <c r="R34" i="8"/>
  <c r="P33" i="8"/>
  <c r="O33" i="8"/>
  <c r="N33" i="8"/>
  <c r="R33" i="8"/>
  <c r="P32" i="8"/>
  <c r="O32" i="8"/>
  <c r="N32" i="8"/>
  <c r="R32" i="8"/>
  <c r="P31" i="8"/>
  <c r="O31" i="8"/>
  <c r="N31" i="8"/>
  <c r="R31" i="8"/>
  <c r="P30" i="8"/>
  <c r="O30" i="8"/>
  <c r="N30" i="8"/>
  <c r="R30" i="8"/>
  <c r="P29" i="8"/>
  <c r="O29" i="8"/>
  <c r="N29" i="8"/>
  <c r="R29" i="8"/>
  <c r="P28" i="8"/>
  <c r="O28" i="8"/>
  <c r="N28" i="8"/>
  <c r="R28" i="8"/>
  <c r="P27" i="8"/>
  <c r="O27" i="8"/>
  <c r="N27" i="8"/>
  <c r="R27" i="8"/>
  <c r="P26" i="8"/>
  <c r="O26" i="8"/>
  <c r="N26" i="8"/>
  <c r="R26" i="8"/>
  <c r="P25" i="8"/>
  <c r="O25" i="8"/>
  <c r="N25" i="8"/>
  <c r="R25" i="8"/>
  <c r="P24" i="8"/>
  <c r="O24" i="8"/>
  <c r="N24" i="8"/>
  <c r="R24" i="8"/>
  <c r="P23" i="8"/>
  <c r="O23" i="8"/>
  <c r="N23" i="8"/>
  <c r="R23" i="8"/>
  <c r="P22" i="8"/>
  <c r="O22" i="8"/>
  <c r="N22" i="8"/>
  <c r="R22" i="8"/>
  <c r="P21" i="8"/>
  <c r="O21" i="8"/>
  <c r="N21" i="8"/>
  <c r="R21" i="8"/>
  <c r="P20" i="8"/>
  <c r="O20" i="8"/>
  <c r="N20" i="8"/>
  <c r="R20" i="8"/>
  <c r="P19" i="8"/>
  <c r="O19" i="8"/>
  <c r="N19" i="8"/>
  <c r="R19" i="8"/>
  <c r="P18" i="8"/>
  <c r="O18" i="8"/>
  <c r="N18" i="8"/>
  <c r="R18" i="8"/>
  <c r="P17" i="8"/>
  <c r="O17" i="8"/>
  <c r="N17" i="8"/>
  <c r="R17" i="8"/>
  <c r="P16" i="8"/>
  <c r="O16" i="8"/>
  <c r="N16" i="8"/>
  <c r="G16" i="8"/>
  <c r="R211" i="8"/>
  <c r="R231" i="8"/>
  <c r="R378" i="8"/>
  <c r="R224" i="8"/>
  <c r="R350" i="8"/>
  <c r="R377" i="8"/>
  <c r="R386" i="8"/>
  <c r="D4" i="8"/>
  <c r="K13" i="7"/>
  <c r="M726" i="8" l="1"/>
  <c r="O726" i="8" s="1"/>
  <c r="M698" i="8"/>
  <c r="M788" i="8"/>
  <c r="M793" i="8"/>
  <c r="C788" i="8"/>
  <c r="O788" i="8"/>
  <c r="N788" i="8"/>
  <c r="S788" i="8"/>
  <c r="P788" i="8"/>
  <c r="M795" i="8"/>
  <c r="C795" i="8" s="1"/>
  <c r="M669" i="8"/>
  <c r="M712" i="8"/>
  <c r="M767" i="8"/>
  <c r="M650" i="8"/>
  <c r="M740" i="8"/>
  <c r="M540" i="8"/>
  <c r="M741" i="8"/>
  <c r="M552" i="8"/>
  <c r="M764" i="8"/>
  <c r="M637" i="8"/>
  <c r="M720" i="8"/>
  <c r="M775" i="8"/>
  <c r="M780" i="8"/>
  <c r="S775" i="8"/>
  <c r="N775" i="8"/>
  <c r="P775" i="8"/>
  <c r="O775" i="8"/>
  <c r="C775" i="8"/>
  <c r="M652" i="8"/>
  <c r="O652" i="8" s="1"/>
  <c r="M776" i="8"/>
  <c r="M472" i="8"/>
  <c r="C472" i="8" s="1"/>
  <c r="M457" i="8"/>
  <c r="M783" i="8"/>
  <c r="C783" i="8" s="1"/>
  <c r="M716" i="8"/>
  <c r="M739" i="8"/>
  <c r="S739" i="8" s="1"/>
  <c r="M794" i="8"/>
  <c r="M696" i="8"/>
  <c r="O696" i="8" s="1"/>
  <c r="M789" i="8"/>
  <c r="M689" i="8"/>
  <c r="M760" i="8"/>
  <c r="M556" i="8"/>
  <c r="M599" i="8"/>
  <c r="M763" i="8"/>
  <c r="M790" i="8"/>
  <c r="N763" i="8"/>
  <c r="S763" i="8"/>
  <c r="C763" i="8"/>
  <c r="O763" i="8"/>
  <c r="P763" i="8"/>
  <c r="M694" i="8"/>
  <c r="N694" i="8" s="1"/>
  <c r="M707" i="8"/>
  <c r="M695" i="8"/>
  <c r="M706" i="8"/>
  <c r="M688" i="8"/>
  <c r="M671" i="8"/>
  <c r="N671" i="8" s="1"/>
  <c r="M564" i="8"/>
  <c r="M541" i="8"/>
  <c r="M737" i="8"/>
  <c r="M633" i="8"/>
  <c r="M738" i="8"/>
  <c r="M705" i="8"/>
  <c r="M762" i="8"/>
  <c r="M735" i="8"/>
  <c r="M753" i="8"/>
  <c r="M747" i="8"/>
  <c r="N753" i="8"/>
  <c r="S753" i="8"/>
  <c r="C753" i="8"/>
  <c r="O753" i="8"/>
  <c r="P753" i="8"/>
  <c r="M715" i="8"/>
  <c r="M786" i="8"/>
  <c r="M727" i="8"/>
  <c r="M787" i="8"/>
  <c r="M777" i="8"/>
  <c r="M693" i="8"/>
  <c r="M779" i="8"/>
  <c r="M675" i="8"/>
  <c r="M692" i="8"/>
  <c r="P692" i="8" s="1"/>
  <c r="M597" i="8"/>
  <c r="M619" i="8"/>
  <c r="C619" i="8" s="1"/>
  <c r="M736" i="8"/>
  <c r="M575" i="8"/>
  <c r="N575" i="8" s="1"/>
  <c r="M594" i="8"/>
  <c r="M752" i="8"/>
  <c r="O752" i="8" s="1"/>
  <c r="M756" i="8"/>
  <c r="M574" i="8"/>
  <c r="M424" i="8"/>
  <c r="M761" i="8"/>
  <c r="M627" i="8"/>
  <c r="M560" i="8"/>
  <c r="M644" i="8"/>
  <c r="S574" i="8"/>
  <c r="N574" i="8"/>
  <c r="O574" i="8"/>
  <c r="C574" i="8"/>
  <c r="P574" i="8"/>
  <c r="M645" i="8"/>
  <c r="M683" i="8"/>
  <c r="M774" i="8"/>
  <c r="M718" i="8"/>
  <c r="M778" i="8"/>
  <c r="M771" i="8"/>
  <c r="M772" i="8"/>
  <c r="M773" i="8"/>
  <c r="M751" i="8"/>
  <c r="N751" i="8" s="1"/>
  <c r="M708" i="8"/>
  <c r="M749" i="8"/>
  <c r="M750" i="8"/>
  <c r="M796" i="8"/>
  <c r="M672" i="8"/>
  <c r="M704" i="8"/>
  <c r="M703" i="8"/>
  <c r="M766" i="8"/>
  <c r="M648" i="8"/>
  <c r="M782" i="8"/>
  <c r="M714" i="8"/>
  <c r="M791" i="8"/>
  <c r="M690" i="8"/>
  <c r="M758" i="8"/>
  <c r="M632" i="8"/>
  <c r="M759" i="8"/>
  <c r="M722" i="8"/>
  <c r="O722" i="8" s="1"/>
  <c r="M686" i="8"/>
  <c r="M757" i="8"/>
  <c r="M710" i="8"/>
  <c r="M781" i="8"/>
  <c r="M673" i="8"/>
  <c r="M770" i="8"/>
  <c r="M754" i="8"/>
  <c r="M746" i="8"/>
  <c r="M685" i="8"/>
  <c r="M725" i="8"/>
  <c r="M748" i="8"/>
  <c r="M785" i="8"/>
  <c r="M679" i="8"/>
  <c r="M697" i="8"/>
  <c r="M630" i="8"/>
  <c r="C630" i="8" s="1"/>
  <c r="M676" i="8"/>
  <c r="C676" i="8" s="1"/>
  <c r="M745" i="8"/>
  <c r="C745" i="8" s="1"/>
  <c r="M784" i="8"/>
  <c r="C784" i="8" s="1"/>
  <c r="M769" i="8"/>
  <c r="C769" i="8" s="1"/>
  <c r="M768" i="8"/>
  <c r="C768" i="8" s="1"/>
  <c r="M743" i="8"/>
  <c r="C743" i="8" s="1"/>
  <c r="M639" i="8"/>
  <c r="M678" i="8"/>
  <c r="M620" i="8"/>
  <c r="C620" i="8" s="1"/>
  <c r="M723" i="8"/>
  <c r="C723" i="8" s="1"/>
  <c r="M634" i="8"/>
  <c r="C634" i="8" s="1"/>
  <c r="M503" i="8"/>
  <c r="C503" i="8" s="1"/>
  <c r="M624" i="8"/>
  <c r="C624" i="8" s="1"/>
  <c r="M677" i="8"/>
  <c r="C677" i="8" s="1"/>
  <c r="M635" i="8"/>
  <c r="C635" i="8" s="1"/>
  <c r="M680" i="8"/>
  <c r="C680" i="8" s="1"/>
  <c r="M691" i="8"/>
  <c r="C691" i="8" s="1"/>
  <c r="M668" i="8"/>
  <c r="M465" i="8"/>
  <c r="C465" i="8" s="1"/>
  <c r="M415" i="8"/>
  <c r="C415" i="8" s="1"/>
  <c r="M719" i="8"/>
  <c r="C719" i="8" s="1"/>
  <c r="M626" i="8"/>
  <c r="M622" i="8"/>
  <c r="M670" i="8"/>
  <c r="M646" i="8"/>
  <c r="M623" i="8"/>
  <c r="M721" i="8"/>
  <c r="M701" i="8"/>
  <c r="M700" i="8"/>
  <c r="M674" i="8"/>
  <c r="M744" i="8"/>
  <c r="R16" i="8"/>
  <c r="D9" i="8"/>
  <c r="D10" i="8" s="1"/>
  <c r="M684" i="8"/>
  <c r="M661" i="8"/>
  <c r="M702" i="8"/>
  <c r="M659" i="8"/>
  <c r="M687" i="8"/>
  <c r="M636" i="8"/>
  <c r="C636" i="8" s="1"/>
  <c r="M581" i="8"/>
  <c r="M631" i="8"/>
  <c r="C631" i="8" s="1"/>
  <c r="M711" i="8"/>
  <c r="C711" i="8" s="1"/>
  <c r="M591" i="8"/>
  <c r="M682" i="8"/>
  <c r="M709" i="8"/>
  <c r="C709" i="8" s="1"/>
  <c r="M608" i="8"/>
  <c r="M742" i="8"/>
  <c r="M638" i="8"/>
  <c r="C638" i="8" s="1"/>
  <c r="M616" i="8"/>
  <c r="M654" i="8"/>
  <c r="C654" i="8" s="1"/>
  <c r="M660" i="8"/>
  <c r="M607" i="8"/>
  <c r="S607" i="8" s="1"/>
  <c r="M606" i="8"/>
  <c r="M717" i="8"/>
  <c r="M576" i="8"/>
  <c r="M733" i="8"/>
  <c r="M734" i="8"/>
  <c r="C734" i="8" s="1"/>
  <c r="M729" i="8"/>
  <c r="M730" i="8"/>
  <c r="C730" i="8" s="1"/>
  <c r="M649" i="8"/>
  <c r="M728" i="8"/>
  <c r="C728" i="8" s="1"/>
  <c r="M713" i="8"/>
  <c r="M629" i="8"/>
  <c r="C629" i="8" s="1"/>
  <c r="M699" i="8"/>
  <c r="M590" i="8"/>
  <c r="M625" i="8"/>
  <c r="M435" i="8"/>
  <c r="M587" i="8"/>
  <c r="M612" i="8"/>
  <c r="M732" i="8"/>
  <c r="M609" i="8"/>
  <c r="M615" i="8"/>
  <c r="S615" i="8" s="1"/>
  <c r="M765" i="8"/>
  <c r="C765" i="8" s="1"/>
  <c r="M614" i="8"/>
  <c r="M545" i="8"/>
  <c r="S545" i="8" s="1"/>
  <c r="M604" i="8"/>
  <c r="M724" i="8"/>
  <c r="C724" i="8" s="1"/>
  <c r="M657" i="8"/>
  <c r="M731" i="8"/>
  <c r="M653" i="8"/>
  <c r="C653" i="8" s="1"/>
  <c r="M603" i="8"/>
  <c r="M600" i="8"/>
  <c r="C600" i="8" s="1"/>
  <c r="M667" i="8"/>
  <c r="C667" i="8" s="1"/>
  <c r="M602" i="8"/>
  <c r="M596" i="8"/>
  <c r="C596" i="8" s="1"/>
  <c r="N602" i="8"/>
  <c r="O602" i="8"/>
  <c r="P602" i="8"/>
  <c r="M618" i="8"/>
  <c r="C618" i="8" s="1"/>
  <c r="M681" i="8"/>
  <c r="C681" i="8" s="1"/>
  <c r="M582" i="8"/>
  <c r="C582" i="8" s="1"/>
  <c r="M643" i="8"/>
  <c r="M666" i="8"/>
  <c r="C666" i="8" s="1"/>
  <c r="M592" i="8"/>
  <c r="C592" i="8" s="1"/>
  <c r="M628" i="8"/>
  <c r="C628" i="8" s="1"/>
  <c r="M598" i="8"/>
  <c r="C598" i="8" s="1"/>
  <c r="M593" i="8"/>
  <c r="P593" i="8" s="1"/>
  <c r="M516" i="8"/>
  <c r="P516" i="8" s="1"/>
  <c r="M589" i="8"/>
  <c r="C589" i="8" s="1"/>
  <c r="M410" i="8"/>
  <c r="M535" i="8"/>
  <c r="M536" i="8"/>
  <c r="C536" i="8" s="1"/>
  <c r="M621" i="8"/>
  <c r="M477" i="8"/>
  <c r="M500" i="8"/>
  <c r="M526" i="8"/>
  <c r="C526" i="8" s="1"/>
  <c r="M514" i="8"/>
  <c r="C514" i="8" s="1"/>
  <c r="M518" i="8"/>
  <c r="C518" i="8" s="1"/>
  <c r="M471" i="8"/>
  <c r="C471" i="8" s="1"/>
  <c r="M504" i="8"/>
  <c r="C504" i="8" s="1"/>
  <c r="M498" i="8"/>
  <c r="M525" i="8"/>
  <c r="C525" i="8" s="1"/>
  <c r="M515" i="8"/>
  <c r="M392" i="8"/>
  <c r="C392" i="8" s="1"/>
  <c r="M543" i="8"/>
  <c r="C543" i="8" s="1"/>
  <c r="M641" i="8"/>
  <c r="M551" i="8"/>
  <c r="C551" i="8" s="1"/>
  <c r="M595" i="8"/>
  <c r="M561" i="8"/>
  <c r="C561" i="8" s="1"/>
  <c r="M544" i="8"/>
  <c r="S544" i="8" s="1"/>
  <c r="M566" i="8"/>
  <c r="C566" i="8" s="1"/>
  <c r="M577" i="8"/>
  <c r="C577" i="8" s="1"/>
  <c r="M617" i="8"/>
  <c r="C617" i="8" s="1"/>
  <c r="M647" i="8"/>
  <c r="M466" i="8"/>
  <c r="M523" i="8"/>
  <c r="M554" i="8"/>
  <c r="C554" i="8" s="1"/>
  <c r="M573" i="8"/>
  <c r="C573" i="8" s="1"/>
  <c r="M506" i="8"/>
  <c r="C506" i="8" s="1"/>
  <c r="M493" i="8"/>
  <c r="M613" i="8"/>
  <c r="C613" i="8" s="1"/>
  <c r="M656" i="8"/>
  <c r="M571" i="8"/>
  <c r="C571" i="8" s="1"/>
  <c r="M610" i="8"/>
  <c r="M588" i="8"/>
  <c r="M572" i="8"/>
  <c r="M640" i="8"/>
  <c r="M534" i="8"/>
  <c r="C534" i="8" s="1"/>
  <c r="M542" i="8"/>
  <c r="M655" i="8"/>
  <c r="M567" i="8"/>
  <c r="C567" i="8" s="1"/>
  <c r="M658" i="8"/>
  <c r="M792" i="8"/>
  <c r="C792" i="8" s="1"/>
  <c r="M431" i="8"/>
  <c r="M583" i="8"/>
  <c r="M481" i="8"/>
  <c r="M495" i="8"/>
  <c r="M568" i="8"/>
  <c r="C568" i="8" s="1"/>
  <c r="M509" i="8"/>
  <c r="C509" i="8" s="1"/>
  <c r="M663" i="8"/>
  <c r="C663" i="8" s="1"/>
  <c r="M601" i="8"/>
  <c r="M524" i="8"/>
  <c r="C524" i="8" s="1"/>
  <c r="M557" i="8"/>
  <c r="C557" i="8" s="1"/>
  <c r="M570" i="8"/>
  <c r="C570" i="8" s="1"/>
  <c r="M755" i="8"/>
  <c r="C755" i="8" s="1"/>
  <c r="M475" i="8"/>
  <c r="M497" i="8"/>
  <c r="M569" i="8"/>
  <c r="C569" i="8" s="1"/>
  <c r="M605" i="8"/>
  <c r="M664" i="8"/>
  <c r="C664" i="8" s="1"/>
  <c r="M578" i="8"/>
  <c r="C578" i="8" s="1"/>
  <c r="M580" i="8"/>
  <c r="C580" i="8" s="1"/>
  <c r="M530" i="8"/>
  <c r="M519" i="8"/>
  <c r="M584" i="8"/>
  <c r="C584" i="8" s="1"/>
  <c r="M379" i="8"/>
  <c r="M455" i="8"/>
  <c r="C455" i="8" s="1"/>
  <c r="M480" i="8"/>
  <c r="M662" i="8"/>
  <c r="C662" i="8" s="1"/>
  <c r="M533" i="8"/>
  <c r="C533" i="8" s="1"/>
  <c r="M642" i="8"/>
  <c r="M458" i="8"/>
  <c r="M532" i="8"/>
  <c r="C532" i="8" s="1"/>
  <c r="M611" i="8"/>
  <c r="M586" i="8"/>
  <c r="C586" i="8" s="1"/>
  <c r="M559" i="8"/>
  <c r="C559" i="8" s="1"/>
  <c r="M651" i="8"/>
  <c r="M490" i="8"/>
  <c r="C490" i="8" s="1"/>
  <c r="M555" i="8"/>
  <c r="C555" i="8" s="1"/>
  <c r="M565" i="8"/>
  <c r="C565" i="8" s="1"/>
  <c r="M512" i="8"/>
  <c r="M486" i="8"/>
  <c r="M579" i="8"/>
  <c r="C579" i="8" s="1"/>
  <c r="M511" i="8"/>
  <c r="C511" i="8" s="1"/>
  <c r="M546" i="8"/>
  <c r="C546" i="8" s="1"/>
  <c r="M553" i="8"/>
  <c r="C553" i="8" s="1"/>
  <c r="M665" i="8"/>
  <c r="M585" i="8"/>
  <c r="O549" i="8"/>
  <c r="O547" i="8"/>
  <c r="N547" i="8"/>
  <c r="P547" i="8"/>
  <c r="N508" i="8"/>
  <c r="P508" i="8"/>
  <c r="O508" i="8"/>
  <c r="H338" i="5"/>
  <c r="O499" i="8"/>
  <c r="P499" i="8"/>
  <c r="N499" i="8"/>
  <c r="P467" i="8"/>
  <c r="O467" i="8"/>
  <c r="R447" i="8"/>
  <c r="R140" i="8"/>
  <c r="O423" i="5"/>
  <c r="H424" i="5"/>
  <c r="T424" i="5" s="1"/>
  <c r="R430" i="8"/>
  <c r="H416" i="5"/>
  <c r="T416" i="5" s="1"/>
  <c r="O416" i="5"/>
  <c r="H417" i="5"/>
  <c r="T417" i="5" s="1"/>
  <c r="O417" i="5"/>
  <c r="E418" i="5"/>
  <c r="H422" i="5"/>
  <c r="T422" i="5" s="1"/>
  <c r="O422" i="5"/>
  <c r="H413" i="5"/>
  <c r="T413" i="5" s="1"/>
  <c r="O413" i="5"/>
  <c r="E412" i="5"/>
  <c r="H421" i="5"/>
  <c r="T421" i="5" s="1"/>
  <c r="O421" i="5"/>
  <c r="H339" i="5"/>
  <c r="T339" i="5" s="1"/>
  <c r="O339" i="5"/>
  <c r="H281" i="5"/>
  <c r="T281" i="5" s="1"/>
  <c r="O281" i="5"/>
  <c r="H208" i="5"/>
  <c r="T208" i="5" s="1"/>
  <c r="O208" i="5"/>
  <c r="H407" i="5"/>
  <c r="T407" i="5" s="1"/>
  <c r="O407" i="5"/>
  <c r="H411" i="5"/>
  <c r="O411" i="5"/>
  <c r="K408" i="5"/>
  <c r="E627" i="5"/>
  <c r="E628" i="5"/>
  <c r="C13" i="7"/>
  <c r="D13" i="7"/>
  <c r="E13" i="7"/>
  <c r="F13" i="7"/>
  <c r="G13" i="7"/>
  <c r="H13" i="7"/>
  <c r="J13" i="7"/>
  <c r="H404" i="5"/>
  <c r="T404" i="5" s="1"/>
  <c r="O404" i="5"/>
  <c r="I6" i="7"/>
  <c r="I13" i="7" s="1"/>
  <c r="H329" i="5"/>
  <c r="J4" i="7"/>
  <c r="R22" i="5"/>
  <c r="R23" i="5"/>
  <c r="R25" i="5"/>
  <c r="R26" i="5"/>
  <c r="R27" i="5"/>
  <c r="R28" i="5"/>
  <c r="R29" i="5"/>
  <c r="R24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9" i="5"/>
  <c r="R47" i="5"/>
  <c r="R48" i="5"/>
  <c r="R50" i="5"/>
  <c r="R51" i="5"/>
  <c r="R52" i="5"/>
  <c r="R53" i="5"/>
  <c r="R54" i="5"/>
  <c r="R55" i="5"/>
  <c r="R56" i="5"/>
  <c r="R57" i="5"/>
  <c r="R59" i="5"/>
  <c r="R58" i="5"/>
  <c r="R60" i="5"/>
  <c r="R61" i="5"/>
  <c r="R62" i="5"/>
  <c r="R63" i="5"/>
  <c r="R64" i="5"/>
  <c r="R65" i="5"/>
  <c r="R69" i="5"/>
  <c r="R66" i="5"/>
  <c r="R70" i="5"/>
  <c r="R67" i="5"/>
  <c r="R71" i="5"/>
  <c r="R68" i="5"/>
  <c r="R72" i="5"/>
  <c r="R73" i="5"/>
  <c r="R77" i="5"/>
  <c r="R78" i="5"/>
  <c r="R80" i="5"/>
  <c r="R75" i="5"/>
  <c r="R76" i="5"/>
  <c r="R79" i="5"/>
  <c r="R74" i="5"/>
  <c r="R81" i="5"/>
  <c r="R82" i="5"/>
  <c r="R83" i="5"/>
  <c r="R84" i="5"/>
  <c r="R85" i="5"/>
  <c r="R86" i="5"/>
  <c r="R87" i="5"/>
  <c r="R88" i="5"/>
  <c r="R89" i="5"/>
  <c r="R90" i="5"/>
  <c r="R91" i="5"/>
  <c r="R92" i="5"/>
  <c r="R96" i="5"/>
  <c r="R93" i="5"/>
  <c r="R95" i="5"/>
  <c r="R94" i="5"/>
  <c r="R99" i="5"/>
  <c r="R97" i="5"/>
  <c r="R98" i="5"/>
  <c r="R100" i="5"/>
  <c r="R101" i="5"/>
  <c r="R103" i="5"/>
  <c r="R104" i="5"/>
  <c r="R102" i="5"/>
  <c r="R105" i="5"/>
  <c r="R107" i="5"/>
  <c r="R106" i="5"/>
  <c r="R108" i="5"/>
  <c r="R109" i="5"/>
  <c r="R110" i="5"/>
  <c r="R111" i="5"/>
  <c r="R112" i="5"/>
  <c r="R113" i="5"/>
  <c r="R114" i="5"/>
  <c r="R115" i="5"/>
  <c r="R116" i="5"/>
  <c r="R117" i="5"/>
  <c r="R119" i="5"/>
  <c r="R118" i="5"/>
  <c r="R120" i="5"/>
  <c r="R121" i="5"/>
  <c r="R126" i="5"/>
  <c r="R122" i="5"/>
  <c r="R123" i="5"/>
  <c r="R124" i="5"/>
  <c r="R125" i="5"/>
  <c r="R127" i="5"/>
  <c r="R130" i="5"/>
  <c r="R128" i="5"/>
  <c r="R131" i="5"/>
  <c r="R132" i="5"/>
  <c r="R129" i="5"/>
  <c r="R373" i="5"/>
  <c r="R134" i="5"/>
  <c r="R135" i="5"/>
  <c r="R140" i="5"/>
  <c r="R141" i="5"/>
  <c r="R136" i="5"/>
  <c r="R137" i="5"/>
  <c r="R138" i="5"/>
  <c r="R139" i="5"/>
  <c r="R142" i="5"/>
  <c r="R143" i="5"/>
  <c r="R145" i="5"/>
  <c r="R144" i="5"/>
  <c r="R146" i="5"/>
  <c r="R148" i="5"/>
  <c r="R147" i="5"/>
  <c r="R149" i="5"/>
  <c r="R150" i="5"/>
  <c r="R151" i="5"/>
  <c r="R152" i="5"/>
  <c r="R155" i="5"/>
  <c r="R153" i="5"/>
  <c r="R156" i="5"/>
  <c r="R157" i="5"/>
  <c r="R154" i="5"/>
  <c r="R158" i="5"/>
  <c r="R159" i="5"/>
  <c r="R160" i="5"/>
  <c r="R164" i="5"/>
  <c r="R165" i="5"/>
  <c r="R161" i="5"/>
  <c r="R163" i="5"/>
  <c r="R162" i="5"/>
  <c r="R171" i="5"/>
  <c r="R169" i="5"/>
  <c r="R170" i="5"/>
  <c r="R166" i="5"/>
  <c r="R167" i="5"/>
  <c r="R168" i="5"/>
  <c r="R173" i="5"/>
  <c r="R172" i="5"/>
  <c r="R178" i="5"/>
  <c r="R174" i="5"/>
  <c r="R175" i="5"/>
  <c r="R176" i="5"/>
  <c r="R177" i="5"/>
  <c r="R179" i="5"/>
  <c r="R180" i="5"/>
  <c r="R181" i="5"/>
  <c r="R182" i="5"/>
  <c r="R183" i="5"/>
  <c r="R184" i="5"/>
  <c r="R185" i="5"/>
  <c r="R186" i="5"/>
  <c r="R188" i="5"/>
  <c r="R189" i="5"/>
  <c r="R187" i="5"/>
  <c r="R190" i="5"/>
  <c r="R191" i="5"/>
  <c r="R192" i="5"/>
  <c r="R194" i="5"/>
  <c r="R195" i="5"/>
  <c r="R193" i="5"/>
  <c r="R196" i="5"/>
  <c r="R198" i="5"/>
  <c r="R202" i="5"/>
  <c r="R201" i="5"/>
  <c r="R203" i="5"/>
  <c r="R205" i="5"/>
  <c r="R219" i="5"/>
  <c r="R206" i="5"/>
  <c r="R207" i="5"/>
  <c r="R209" i="5"/>
  <c r="R210" i="5"/>
  <c r="R211" i="5"/>
  <c r="R212" i="5"/>
  <c r="R213" i="5"/>
  <c r="R214" i="5"/>
  <c r="R215" i="5"/>
  <c r="R216" i="5"/>
  <c r="R217" i="5"/>
  <c r="R218" i="5"/>
  <c r="R222" i="5"/>
  <c r="R226" i="5"/>
  <c r="R223" i="5"/>
  <c r="R220" i="5"/>
  <c r="R224" i="5"/>
  <c r="R225" i="5"/>
  <c r="R221" i="5"/>
  <c r="R227" i="5"/>
  <c r="R228" i="5"/>
  <c r="R229" i="5"/>
  <c r="R230" i="5"/>
  <c r="R232" i="5"/>
  <c r="R233" i="5"/>
  <c r="R231" i="5"/>
  <c r="R234" i="5"/>
  <c r="R235" i="5"/>
  <c r="R236" i="5"/>
  <c r="R237" i="5"/>
  <c r="R238" i="5"/>
  <c r="R239" i="5"/>
  <c r="R240" i="5"/>
  <c r="R241" i="5"/>
  <c r="R242" i="5"/>
  <c r="R627" i="5"/>
  <c r="R243" i="5"/>
  <c r="R244" i="5"/>
  <c r="R245" i="5"/>
  <c r="R252" i="5"/>
  <c r="R246" i="5"/>
  <c r="R248" i="5"/>
  <c r="R249" i="5"/>
  <c r="R250" i="5"/>
  <c r="R247" i="5"/>
  <c r="R251" i="5"/>
  <c r="R293" i="5"/>
  <c r="R253" i="5"/>
  <c r="R254" i="5"/>
  <c r="R255" i="5"/>
  <c r="R256" i="5"/>
  <c r="R257" i="5"/>
  <c r="R258" i="5"/>
  <c r="R259" i="5"/>
  <c r="R260" i="5"/>
  <c r="R264" i="5"/>
  <c r="R261" i="5"/>
  <c r="R262" i="5"/>
  <c r="R263" i="5"/>
  <c r="R265" i="5"/>
  <c r="R266" i="5"/>
  <c r="R267" i="5"/>
  <c r="R268" i="5"/>
  <c r="R269" i="5"/>
  <c r="R273" i="5"/>
  <c r="R270" i="5"/>
  <c r="R271" i="5"/>
  <c r="R274" i="5"/>
  <c r="R272" i="5"/>
  <c r="R278" i="5"/>
  <c r="R276" i="5"/>
  <c r="R277" i="5"/>
  <c r="R279" i="5"/>
  <c r="R280" i="5"/>
  <c r="R282" i="5"/>
  <c r="R284" i="5"/>
  <c r="R288" i="5"/>
  <c r="R292" i="5"/>
  <c r="R301" i="5"/>
  <c r="R303" i="5"/>
  <c r="R289" i="5"/>
  <c r="R290" i="5"/>
  <c r="R304" i="5"/>
  <c r="R308" i="5"/>
  <c r="R295" i="5"/>
  <c r="R296" i="5"/>
  <c r="R297" i="5"/>
  <c r="R298" i="5"/>
  <c r="R299" i="5"/>
  <c r="R291" i="5"/>
  <c r="R307" i="5"/>
  <c r="R294" i="5"/>
  <c r="R300" i="5"/>
  <c r="R286" i="5"/>
  <c r="R311" i="5"/>
  <c r="R309" i="5"/>
  <c r="R310" i="5"/>
  <c r="R305" i="5"/>
  <c r="R312" i="5"/>
  <c r="R313" i="5"/>
  <c r="R362" i="5"/>
  <c r="R315" i="5"/>
  <c r="R342" i="5"/>
  <c r="R316" i="5"/>
  <c r="R306" i="5"/>
  <c r="R317" i="5"/>
  <c r="R318" i="5"/>
  <c r="R351" i="5"/>
  <c r="R321" i="5"/>
  <c r="R323" i="5"/>
  <c r="R326" i="5"/>
  <c r="R327" i="5"/>
  <c r="R328" i="5"/>
  <c r="R329" i="5"/>
  <c r="R334" i="5"/>
  <c r="R348" i="5"/>
  <c r="R380" i="5"/>
  <c r="R204" i="5"/>
  <c r="R363" i="5"/>
  <c r="R331" i="5"/>
  <c r="R332" i="5"/>
  <c r="R364" i="5"/>
  <c r="R133" i="5"/>
  <c r="R386" i="5"/>
  <c r="R336" i="5"/>
  <c r="R337" i="5"/>
  <c r="E246" i="5"/>
  <c r="H403" i="5"/>
  <c r="T403" i="5" s="1"/>
  <c r="O403" i="5"/>
  <c r="H401" i="5"/>
  <c r="T401" i="5" s="1"/>
  <c r="O401" i="5"/>
  <c r="R797" i="8" l="1"/>
  <c r="P726" i="8"/>
  <c r="N726" i="8"/>
  <c r="C726" i="8"/>
  <c r="S726" i="8"/>
  <c r="N698" i="8"/>
  <c r="S698" i="8"/>
  <c r="C698" i="8"/>
  <c r="O698" i="8"/>
  <c r="P698" i="8"/>
  <c r="N793" i="8"/>
  <c r="S793" i="8"/>
  <c r="C793" i="8"/>
  <c r="O793" i="8"/>
  <c r="P793" i="8"/>
  <c r="O795" i="8"/>
  <c r="S795" i="8"/>
  <c r="P795" i="8"/>
  <c r="N795" i="8"/>
  <c r="S720" i="8"/>
  <c r="P720" i="8"/>
  <c r="C720" i="8"/>
  <c r="O720" i="8"/>
  <c r="N720" i="8"/>
  <c r="C741" i="8"/>
  <c r="N741" i="8"/>
  <c r="S741" i="8"/>
  <c r="P741" i="8"/>
  <c r="O741" i="8"/>
  <c r="P552" i="8"/>
  <c r="C552" i="8"/>
  <c r="O552" i="8"/>
  <c r="N552" i="8"/>
  <c r="S552" i="8"/>
  <c r="O650" i="8"/>
  <c r="P650" i="8"/>
  <c r="C650" i="8"/>
  <c r="N650" i="8"/>
  <c r="S650" i="8"/>
  <c r="N637" i="8"/>
  <c r="P637" i="8"/>
  <c r="C637" i="8"/>
  <c r="O637" i="8"/>
  <c r="S637" i="8"/>
  <c r="P540" i="8"/>
  <c r="C540" i="8"/>
  <c r="N540" i="8"/>
  <c r="S540" i="8"/>
  <c r="O540" i="8"/>
  <c r="C712" i="8"/>
  <c r="O712" i="8"/>
  <c r="N712" i="8"/>
  <c r="S712" i="8"/>
  <c r="P712" i="8"/>
  <c r="N767" i="8"/>
  <c r="S767" i="8"/>
  <c r="P767" i="8"/>
  <c r="C767" i="8"/>
  <c r="O767" i="8"/>
  <c r="S764" i="8"/>
  <c r="P764" i="8"/>
  <c r="C764" i="8"/>
  <c r="O764" i="8"/>
  <c r="N764" i="8"/>
  <c r="N740" i="8"/>
  <c r="S740" i="8"/>
  <c r="P740" i="8"/>
  <c r="C740" i="8"/>
  <c r="O740" i="8"/>
  <c r="O669" i="8"/>
  <c r="N669" i="8"/>
  <c r="S669" i="8"/>
  <c r="P669" i="8"/>
  <c r="C669" i="8"/>
  <c r="N780" i="8"/>
  <c r="S780" i="8"/>
  <c r="O780" i="8"/>
  <c r="C780" i="8"/>
  <c r="P780" i="8"/>
  <c r="C652" i="8"/>
  <c r="S652" i="8"/>
  <c r="P652" i="8"/>
  <c r="N652" i="8"/>
  <c r="N776" i="8"/>
  <c r="S776" i="8"/>
  <c r="C776" i="8"/>
  <c r="O776" i="8"/>
  <c r="P776" i="8"/>
  <c r="S472" i="8"/>
  <c r="P472" i="8"/>
  <c r="O472" i="8"/>
  <c r="N472" i="8"/>
  <c r="N783" i="8"/>
  <c r="O783" i="8"/>
  <c r="C457" i="8"/>
  <c r="O457" i="8"/>
  <c r="N457" i="8"/>
  <c r="S457" i="8"/>
  <c r="P457" i="8"/>
  <c r="P783" i="8"/>
  <c r="O739" i="8"/>
  <c r="S783" i="8"/>
  <c r="C739" i="8"/>
  <c r="C716" i="8"/>
  <c r="O716" i="8"/>
  <c r="P716" i="8"/>
  <c r="N716" i="8"/>
  <c r="S716" i="8"/>
  <c r="P739" i="8"/>
  <c r="N739" i="8"/>
  <c r="C794" i="8"/>
  <c r="O794" i="8"/>
  <c r="P794" i="8"/>
  <c r="N794" i="8"/>
  <c r="S794" i="8"/>
  <c r="S696" i="8"/>
  <c r="P696" i="8"/>
  <c r="N696" i="8"/>
  <c r="C696" i="8"/>
  <c r="N789" i="8"/>
  <c r="S789" i="8"/>
  <c r="C789" i="8"/>
  <c r="O789" i="8"/>
  <c r="P789" i="8"/>
  <c r="N599" i="8"/>
  <c r="P599" i="8"/>
  <c r="C599" i="8"/>
  <c r="O599" i="8"/>
  <c r="S599" i="8"/>
  <c r="C556" i="8"/>
  <c r="N556" i="8"/>
  <c r="O556" i="8"/>
  <c r="P556" i="8"/>
  <c r="S556" i="8"/>
  <c r="N689" i="8"/>
  <c r="C689" i="8"/>
  <c r="O689" i="8"/>
  <c r="P689" i="8"/>
  <c r="S689" i="8"/>
  <c r="C760" i="8"/>
  <c r="N760" i="8"/>
  <c r="O760" i="8"/>
  <c r="P760" i="8"/>
  <c r="S760" i="8"/>
  <c r="N790" i="8"/>
  <c r="S790" i="8"/>
  <c r="C790" i="8"/>
  <c r="O790" i="8"/>
  <c r="P790" i="8"/>
  <c r="P694" i="8"/>
  <c r="O694" i="8"/>
  <c r="C694" i="8"/>
  <c r="S694" i="8"/>
  <c r="C706" i="8"/>
  <c r="N706" i="8"/>
  <c r="P706" i="8"/>
  <c r="S706" i="8"/>
  <c r="O706" i="8"/>
  <c r="C695" i="8"/>
  <c r="N695" i="8"/>
  <c r="O695" i="8"/>
  <c r="S695" i="8"/>
  <c r="P695" i="8"/>
  <c r="C707" i="8"/>
  <c r="N707" i="8"/>
  <c r="O707" i="8"/>
  <c r="P707" i="8"/>
  <c r="S707" i="8"/>
  <c r="C688" i="8"/>
  <c r="N688" i="8"/>
  <c r="O688" i="8"/>
  <c r="P688" i="8"/>
  <c r="S688" i="8"/>
  <c r="O671" i="8"/>
  <c r="C671" i="8"/>
  <c r="S671" i="8"/>
  <c r="P671" i="8"/>
  <c r="N564" i="8"/>
  <c r="S564" i="8"/>
  <c r="C564" i="8"/>
  <c r="O564" i="8"/>
  <c r="P564" i="8"/>
  <c r="N738" i="8"/>
  <c r="P738" i="8"/>
  <c r="S738" i="8"/>
  <c r="C738" i="8"/>
  <c r="O738" i="8"/>
  <c r="P735" i="8"/>
  <c r="C735" i="8"/>
  <c r="O735" i="8"/>
  <c r="N735" i="8"/>
  <c r="S735" i="8"/>
  <c r="N633" i="8"/>
  <c r="S633" i="8"/>
  <c r="P633" i="8"/>
  <c r="C633" i="8"/>
  <c r="O633" i="8"/>
  <c r="C762" i="8"/>
  <c r="O762" i="8"/>
  <c r="N762" i="8"/>
  <c r="S762" i="8"/>
  <c r="P762" i="8"/>
  <c r="C737" i="8"/>
  <c r="O737" i="8"/>
  <c r="N737" i="8"/>
  <c r="S737" i="8"/>
  <c r="P737" i="8"/>
  <c r="C705" i="8"/>
  <c r="O705" i="8"/>
  <c r="N705" i="8"/>
  <c r="S705" i="8"/>
  <c r="P705" i="8"/>
  <c r="P541" i="8"/>
  <c r="C541" i="8"/>
  <c r="O541" i="8"/>
  <c r="N541" i="8"/>
  <c r="S541" i="8"/>
  <c r="N747" i="8"/>
  <c r="S747" i="8"/>
  <c r="C747" i="8"/>
  <c r="O747" i="8"/>
  <c r="P747" i="8"/>
  <c r="C693" i="8"/>
  <c r="N693" i="8"/>
  <c r="O693" i="8"/>
  <c r="P693" i="8"/>
  <c r="S693" i="8"/>
  <c r="C786" i="8"/>
  <c r="N786" i="8"/>
  <c r="O786" i="8"/>
  <c r="P786" i="8"/>
  <c r="S786" i="8"/>
  <c r="C727" i="8"/>
  <c r="N727" i="8"/>
  <c r="O727" i="8"/>
  <c r="P727" i="8"/>
  <c r="S727" i="8"/>
  <c r="C777" i="8"/>
  <c r="N777" i="8"/>
  <c r="O777" i="8"/>
  <c r="P777" i="8"/>
  <c r="S777" i="8"/>
  <c r="C715" i="8"/>
  <c r="N715" i="8"/>
  <c r="O715" i="8"/>
  <c r="P715" i="8"/>
  <c r="S715" i="8"/>
  <c r="C779" i="8"/>
  <c r="N779" i="8"/>
  <c r="O779" i="8"/>
  <c r="P779" i="8"/>
  <c r="S779" i="8"/>
  <c r="O675" i="8"/>
  <c r="P675" i="8"/>
  <c r="S675" i="8"/>
  <c r="C675" i="8"/>
  <c r="N675" i="8"/>
  <c r="C787" i="8"/>
  <c r="N787" i="8"/>
  <c r="O787" i="8"/>
  <c r="P787" i="8"/>
  <c r="S787" i="8"/>
  <c r="S692" i="8"/>
  <c r="O692" i="8"/>
  <c r="N692" i="8"/>
  <c r="C692" i="8"/>
  <c r="N597" i="8"/>
  <c r="S597" i="8"/>
  <c r="C597" i="8"/>
  <c r="O597" i="8"/>
  <c r="P597" i="8"/>
  <c r="S619" i="8"/>
  <c r="P619" i="8"/>
  <c r="N619" i="8"/>
  <c r="O619" i="8"/>
  <c r="N736" i="8"/>
  <c r="S736" i="8"/>
  <c r="C736" i="8"/>
  <c r="O736" i="8"/>
  <c r="P736" i="8"/>
  <c r="O575" i="8"/>
  <c r="C575" i="8"/>
  <c r="S575" i="8"/>
  <c r="P575" i="8"/>
  <c r="N594" i="8"/>
  <c r="S594" i="8"/>
  <c r="C594" i="8"/>
  <c r="O594" i="8"/>
  <c r="P594" i="8"/>
  <c r="C752" i="8"/>
  <c r="S752" i="8"/>
  <c r="P752" i="8"/>
  <c r="N752" i="8"/>
  <c r="N756" i="8"/>
  <c r="S756" i="8"/>
  <c r="C756" i="8"/>
  <c r="O756" i="8"/>
  <c r="P756" i="8"/>
  <c r="C644" i="8"/>
  <c r="O644" i="8"/>
  <c r="S644" i="8"/>
  <c r="P644" i="8"/>
  <c r="N644" i="8"/>
  <c r="N424" i="8"/>
  <c r="S424" i="8"/>
  <c r="C424" i="8"/>
  <c r="O424" i="8"/>
  <c r="P424" i="8"/>
  <c r="N627" i="8"/>
  <c r="S627" i="8"/>
  <c r="C627" i="8"/>
  <c r="O627" i="8"/>
  <c r="P627" i="8"/>
  <c r="P761" i="8"/>
  <c r="N761" i="8"/>
  <c r="S761" i="8"/>
  <c r="C761" i="8"/>
  <c r="O761" i="8"/>
  <c r="P560" i="8"/>
  <c r="O560" i="8"/>
  <c r="N560" i="8"/>
  <c r="S560" i="8"/>
  <c r="C560" i="8"/>
  <c r="S733" i="8"/>
  <c r="C733" i="8"/>
  <c r="S729" i="8"/>
  <c r="C729" i="8"/>
  <c r="N683" i="8"/>
  <c r="S683" i="8"/>
  <c r="P683" i="8"/>
  <c r="C683" i="8"/>
  <c r="O683" i="8"/>
  <c r="C774" i="8"/>
  <c r="O774" i="8"/>
  <c r="S774" i="8"/>
  <c r="P774" i="8"/>
  <c r="N774" i="8"/>
  <c r="P645" i="8"/>
  <c r="C645" i="8"/>
  <c r="O645" i="8"/>
  <c r="N645" i="8"/>
  <c r="S645" i="8"/>
  <c r="C772" i="8"/>
  <c r="O772" i="8"/>
  <c r="P772" i="8"/>
  <c r="N772" i="8"/>
  <c r="S772" i="8"/>
  <c r="C771" i="8"/>
  <c r="N771" i="8"/>
  <c r="S771" i="8"/>
  <c r="O771" i="8"/>
  <c r="P771" i="8"/>
  <c r="N778" i="8"/>
  <c r="S778" i="8"/>
  <c r="C778" i="8"/>
  <c r="O778" i="8"/>
  <c r="P778" i="8"/>
  <c r="N773" i="8"/>
  <c r="S773" i="8"/>
  <c r="C773" i="8"/>
  <c r="O773" i="8"/>
  <c r="P773" i="8"/>
  <c r="N718" i="8"/>
  <c r="S718" i="8"/>
  <c r="P718" i="8"/>
  <c r="C718" i="8"/>
  <c r="O718" i="8"/>
  <c r="O751" i="8"/>
  <c r="C751" i="8"/>
  <c r="S751" i="8"/>
  <c r="P751" i="8"/>
  <c r="C703" i="8"/>
  <c r="N703" i="8"/>
  <c r="O703" i="8"/>
  <c r="P703" i="8"/>
  <c r="S703" i="8"/>
  <c r="C750" i="8"/>
  <c r="N750" i="8"/>
  <c r="O750" i="8"/>
  <c r="P750" i="8"/>
  <c r="S750" i="8"/>
  <c r="C704" i="8"/>
  <c r="N704" i="8"/>
  <c r="O704" i="8"/>
  <c r="P704" i="8"/>
  <c r="S704" i="8"/>
  <c r="C749" i="8"/>
  <c r="N749" i="8"/>
  <c r="O749" i="8"/>
  <c r="P749" i="8"/>
  <c r="S749" i="8"/>
  <c r="C672" i="8"/>
  <c r="N672" i="8"/>
  <c r="O672" i="8"/>
  <c r="P672" i="8"/>
  <c r="S672" i="8"/>
  <c r="C708" i="8"/>
  <c r="N708" i="8"/>
  <c r="O708" i="8"/>
  <c r="P708" i="8"/>
  <c r="S708" i="8"/>
  <c r="C766" i="8"/>
  <c r="N766" i="8"/>
  <c r="O766" i="8"/>
  <c r="P766" i="8"/>
  <c r="S766" i="8"/>
  <c r="C796" i="8"/>
  <c r="N796" i="8"/>
  <c r="O796" i="8"/>
  <c r="P796" i="8"/>
  <c r="S796" i="8"/>
  <c r="N759" i="8"/>
  <c r="O759" i="8"/>
  <c r="P759" i="8"/>
  <c r="S759" i="8"/>
  <c r="C759" i="8"/>
  <c r="C791" i="8"/>
  <c r="N791" i="8"/>
  <c r="O791" i="8"/>
  <c r="P791" i="8"/>
  <c r="S791" i="8"/>
  <c r="C632" i="8"/>
  <c r="N632" i="8"/>
  <c r="O632" i="8"/>
  <c r="P632" i="8"/>
  <c r="S632" i="8"/>
  <c r="C714" i="8"/>
  <c r="N714" i="8"/>
  <c r="O714" i="8"/>
  <c r="P714" i="8"/>
  <c r="S714" i="8"/>
  <c r="C758" i="8"/>
  <c r="N758" i="8"/>
  <c r="O758" i="8"/>
  <c r="P758" i="8"/>
  <c r="S758" i="8"/>
  <c r="C782" i="8"/>
  <c r="N782" i="8"/>
  <c r="O782" i="8"/>
  <c r="P782" i="8"/>
  <c r="S782" i="8"/>
  <c r="C690" i="8"/>
  <c r="N690" i="8"/>
  <c r="O690" i="8"/>
  <c r="P690" i="8"/>
  <c r="S690" i="8"/>
  <c r="C648" i="8"/>
  <c r="N648" i="8"/>
  <c r="O648" i="8"/>
  <c r="P648" i="8"/>
  <c r="S648" i="8"/>
  <c r="C722" i="8"/>
  <c r="S722" i="8"/>
  <c r="N722" i="8"/>
  <c r="P722" i="8"/>
  <c r="P673" i="8"/>
  <c r="C673" i="8"/>
  <c r="O673" i="8"/>
  <c r="N673" i="8"/>
  <c r="S673" i="8"/>
  <c r="N748" i="8"/>
  <c r="P748" i="8"/>
  <c r="S748" i="8"/>
  <c r="C748" i="8"/>
  <c r="O748" i="8"/>
  <c r="S754" i="8"/>
  <c r="C754" i="8"/>
  <c r="O754" i="8"/>
  <c r="N754" i="8"/>
  <c r="P754" i="8"/>
  <c r="C710" i="8"/>
  <c r="O710" i="8"/>
  <c r="N710" i="8"/>
  <c r="P710" i="8"/>
  <c r="S710" i="8"/>
  <c r="N685" i="8"/>
  <c r="P685" i="8"/>
  <c r="S685" i="8"/>
  <c r="C685" i="8"/>
  <c r="O685" i="8"/>
  <c r="N697" i="8"/>
  <c r="P697" i="8"/>
  <c r="S697" i="8"/>
  <c r="O697" i="8"/>
  <c r="C697" i="8"/>
  <c r="N725" i="8"/>
  <c r="P725" i="8"/>
  <c r="S725" i="8"/>
  <c r="C725" i="8"/>
  <c r="O725" i="8"/>
  <c r="C770" i="8"/>
  <c r="O770" i="8"/>
  <c r="S770" i="8"/>
  <c r="N770" i="8"/>
  <c r="P770" i="8"/>
  <c r="C757" i="8"/>
  <c r="O757" i="8"/>
  <c r="N757" i="8"/>
  <c r="P757" i="8"/>
  <c r="S757" i="8"/>
  <c r="O679" i="8"/>
  <c r="N679" i="8"/>
  <c r="P679" i="8"/>
  <c r="S679" i="8"/>
  <c r="C679" i="8"/>
  <c r="C686" i="8"/>
  <c r="O686" i="8"/>
  <c r="N686" i="8"/>
  <c r="P686" i="8"/>
  <c r="S686" i="8"/>
  <c r="N785" i="8"/>
  <c r="P785" i="8"/>
  <c r="S785" i="8"/>
  <c r="C785" i="8"/>
  <c r="O785" i="8"/>
  <c r="N746" i="8"/>
  <c r="P746" i="8"/>
  <c r="S746" i="8"/>
  <c r="O746" i="8"/>
  <c r="C746" i="8"/>
  <c r="N781" i="8"/>
  <c r="P781" i="8"/>
  <c r="S781" i="8"/>
  <c r="C781" i="8"/>
  <c r="O781" i="8"/>
  <c r="S649" i="8"/>
  <c r="C649" i="8"/>
  <c r="P639" i="8"/>
  <c r="C639" i="8"/>
  <c r="S639" i="8"/>
  <c r="N639" i="8"/>
  <c r="O769" i="8"/>
  <c r="P769" i="8"/>
  <c r="N769" i="8"/>
  <c r="S769" i="8"/>
  <c r="O639" i="8"/>
  <c r="N743" i="8"/>
  <c r="S743" i="8"/>
  <c r="P743" i="8"/>
  <c r="O743" i="8"/>
  <c r="N745" i="8"/>
  <c r="S745" i="8"/>
  <c r="P745" i="8"/>
  <c r="O745" i="8"/>
  <c r="P630" i="8"/>
  <c r="S630" i="8"/>
  <c r="O630" i="8"/>
  <c r="N630" i="8"/>
  <c r="N784" i="8"/>
  <c r="O784" i="8"/>
  <c r="S784" i="8"/>
  <c r="P784" i="8"/>
  <c r="O768" i="8"/>
  <c r="N768" i="8"/>
  <c r="S768" i="8"/>
  <c r="P768" i="8"/>
  <c r="P676" i="8"/>
  <c r="N676" i="8"/>
  <c r="O676" i="8"/>
  <c r="S676" i="8"/>
  <c r="N678" i="8"/>
  <c r="S678" i="8"/>
  <c r="O678" i="8"/>
  <c r="P678" i="8"/>
  <c r="S732" i="8"/>
  <c r="C732" i="8"/>
  <c r="S713" i="8"/>
  <c r="C713" i="8"/>
  <c r="S717" i="8"/>
  <c r="C717" i="8"/>
  <c r="S604" i="8"/>
  <c r="C604" i="8"/>
  <c r="S542" i="8"/>
  <c r="C542" i="8"/>
  <c r="S731" i="8"/>
  <c r="C731" i="8"/>
  <c r="S657" i="8"/>
  <c r="C657" i="8"/>
  <c r="S691" i="8"/>
  <c r="N691" i="8"/>
  <c r="O635" i="8"/>
  <c r="S635" i="8"/>
  <c r="P635" i="8"/>
  <c r="N635" i="8"/>
  <c r="N634" i="8"/>
  <c r="S634" i="8"/>
  <c r="O634" i="8"/>
  <c r="P634" i="8"/>
  <c r="O677" i="8"/>
  <c r="N677" i="8"/>
  <c r="P677" i="8"/>
  <c r="S677" i="8"/>
  <c r="N723" i="8"/>
  <c r="S723" i="8"/>
  <c r="O723" i="8"/>
  <c r="P723" i="8"/>
  <c r="P624" i="8"/>
  <c r="O624" i="8"/>
  <c r="N624" i="8"/>
  <c r="S624" i="8"/>
  <c r="P620" i="8"/>
  <c r="N620" i="8"/>
  <c r="S620" i="8"/>
  <c r="O620" i="8"/>
  <c r="N680" i="8"/>
  <c r="S680" i="8"/>
  <c r="O680" i="8"/>
  <c r="P680" i="8"/>
  <c r="P503" i="8"/>
  <c r="O503" i="8"/>
  <c r="N503" i="8"/>
  <c r="S503" i="8"/>
  <c r="P691" i="8"/>
  <c r="O691" i="8"/>
  <c r="N668" i="8"/>
  <c r="S668" i="8"/>
  <c r="O668" i="8"/>
  <c r="P668" i="8"/>
  <c r="O465" i="8"/>
  <c r="S465" i="8"/>
  <c r="G418" i="5"/>
  <c r="H418" i="5" s="1"/>
  <c r="T418" i="5" s="1"/>
  <c r="N465" i="8"/>
  <c r="P465" i="8"/>
  <c r="N415" i="8"/>
  <c r="S415" i="8"/>
  <c r="O415" i="8"/>
  <c r="P415" i="8"/>
  <c r="C519" i="8"/>
  <c r="S519" i="8"/>
  <c r="S664" i="8"/>
  <c r="C655" i="8"/>
  <c r="S655" i="8"/>
  <c r="C656" i="8"/>
  <c r="S656" i="8"/>
  <c r="C647" i="8"/>
  <c r="S647" i="8"/>
  <c r="C641" i="8"/>
  <c r="S641" i="8"/>
  <c r="C643" i="8"/>
  <c r="S643" i="8"/>
  <c r="S653" i="8"/>
  <c r="C587" i="8"/>
  <c r="S587" i="8"/>
  <c r="C699" i="8"/>
  <c r="S699" i="8"/>
  <c r="S638" i="8"/>
  <c r="C682" i="8"/>
  <c r="S682" i="8"/>
  <c r="C581" i="8"/>
  <c r="S581" i="8"/>
  <c r="C702" i="8"/>
  <c r="S702" i="8"/>
  <c r="C701" i="8"/>
  <c r="S701" i="8"/>
  <c r="C670" i="8"/>
  <c r="S670" i="8"/>
  <c r="S665" i="8"/>
  <c r="C642" i="8"/>
  <c r="S642" i="8"/>
  <c r="C530" i="8"/>
  <c r="S530" i="8"/>
  <c r="S755" i="8"/>
  <c r="C601" i="8"/>
  <c r="S601" i="8"/>
  <c r="S792" i="8"/>
  <c r="C621" i="8"/>
  <c r="S621" i="8"/>
  <c r="S628" i="8"/>
  <c r="S667" i="8"/>
  <c r="N609" i="8"/>
  <c r="S609" i="8"/>
  <c r="C435" i="8"/>
  <c r="S435" i="8"/>
  <c r="S629" i="8"/>
  <c r="S730" i="8"/>
  <c r="C576" i="8"/>
  <c r="S576" i="8"/>
  <c r="C660" i="8"/>
  <c r="S660" i="8"/>
  <c r="C742" i="8"/>
  <c r="S742" i="8"/>
  <c r="C591" i="8"/>
  <c r="S591" i="8"/>
  <c r="C661" i="8"/>
  <c r="S661" i="8"/>
  <c r="C744" i="8"/>
  <c r="S744" i="8"/>
  <c r="C721" i="8"/>
  <c r="S721" i="8"/>
  <c r="C622" i="8"/>
  <c r="S622" i="8"/>
  <c r="C486" i="8"/>
  <c r="S486" i="8"/>
  <c r="C611" i="8"/>
  <c r="S611" i="8"/>
  <c r="S663" i="8"/>
  <c r="C658" i="8"/>
  <c r="S658" i="8"/>
  <c r="C610" i="8"/>
  <c r="S610" i="8"/>
  <c r="C493" i="8"/>
  <c r="S493" i="8"/>
  <c r="S681" i="8"/>
  <c r="S654" i="8"/>
  <c r="C608" i="8"/>
  <c r="S608" i="8"/>
  <c r="S711" i="8"/>
  <c r="C687" i="8"/>
  <c r="S687" i="8"/>
  <c r="C684" i="8"/>
  <c r="S684" i="8"/>
  <c r="C674" i="8"/>
  <c r="S674" i="8"/>
  <c r="C623" i="8"/>
  <c r="S623" i="8"/>
  <c r="C626" i="8"/>
  <c r="S626" i="8"/>
  <c r="C512" i="8"/>
  <c r="S512" i="8"/>
  <c r="C651" i="8"/>
  <c r="S651" i="8"/>
  <c r="S662" i="8"/>
  <c r="C583" i="8"/>
  <c r="S583" i="8"/>
  <c r="C640" i="8"/>
  <c r="S640" i="8"/>
  <c r="C466" i="8"/>
  <c r="S466" i="8"/>
  <c r="C515" i="8"/>
  <c r="S515" i="8"/>
  <c r="S666" i="8"/>
  <c r="S724" i="8"/>
  <c r="O765" i="8"/>
  <c r="S765" i="8"/>
  <c r="C612" i="8"/>
  <c r="S612" i="8"/>
  <c r="C590" i="8"/>
  <c r="S590" i="8"/>
  <c r="S728" i="8"/>
  <c r="S734" i="8"/>
  <c r="C606" i="8"/>
  <c r="S606" i="8"/>
  <c r="C616" i="8"/>
  <c r="S616" i="8"/>
  <c r="S709" i="8"/>
  <c r="S631" i="8"/>
  <c r="C659" i="8"/>
  <c r="S659" i="8"/>
  <c r="C700" i="8"/>
  <c r="S700" i="8"/>
  <c r="C646" i="8"/>
  <c r="S646" i="8"/>
  <c r="S719" i="8"/>
  <c r="C544" i="8"/>
  <c r="P719" i="8"/>
  <c r="O719" i="8"/>
  <c r="N719" i="8"/>
  <c r="N626" i="8"/>
  <c r="O626" i="8"/>
  <c r="P626" i="8"/>
  <c r="O700" i="8"/>
  <c r="P700" i="8"/>
  <c r="N700" i="8"/>
  <c r="N701" i="8"/>
  <c r="O701" i="8"/>
  <c r="P701" i="8"/>
  <c r="P670" i="8"/>
  <c r="N670" i="8"/>
  <c r="O670" i="8"/>
  <c r="N744" i="8"/>
  <c r="O744" i="8"/>
  <c r="P744" i="8"/>
  <c r="P721" i="8"/>
  <c r="O721" i="8"/>
  <c r="N721" i="8"/>
  <c r="N622" i="8"/>
  <c r="O622" i="8"/>
  <c r="P622" i="8"/>
  <c r="N646" i="8"/>
  <c r="P646" i="8"/>
  <c r="O646" i="8"/>
  <c r="O674" i="8"/>
  <c r="N674" i="8"/>
  <c r="P674" i="8"/>
  <c r="P623" i="8"/>
  <c r="N623" i="8"/>
  <c r="O623" i="8"/>
  <c r="N607" i="8"/>
  <c r="C607" i="8"/>
  <c r="N717" i="8"/>
  <c r="O702" i="8"/>
  <c r="N702" i="8"/>
  <c r="P702" i="8"/>
  <c r="P661" i="8"/>
  <c r="N661" i="8"/>
  <c r="O661" i="8"/>
  <c r="N659" i="8"/>
  <c r="P659" i="8"/>
  <c r="O659" i="8"/>
  <c r="P687" i="8"/>
  <c r="O687" i="8"/>
  <c r="N687" i="8"/>
  <c r="O684" i="8"/>
  <c r="P684" i="8"/>
  <c r="N684" i="8"/>
  <c r="N654" i="8"/>
  <c r="O654" i="8"/>
  <c r="P654" i="8"/>
  <c r="O608" i="8"/>
  <c r="P608" i="8"/>
  <c r="N608" i="8"/>
  <c r="N711" i="8"/>
  <c r="O711" i="8"/>
  <c r="P711" i="8"/>
  <c r="N616" i="8"/>
  <c r="O616" i="8"/>
  <c r="P616" i="8"/>
  <c r="P709" i="8"/>
  <c r="N709" i="8"/>
  <c r="O709" i="8"/>
  <c r="N631" i="8"/>
  <c r="O631" i="8"/>
  <c r="P631" i="8"/>
  <c r="O638" i="8"/>
  <c r="P638" i="8"/>
  <c r="N638" i="8"/>
  <c r="P682" i="8"/>
  <c r="N682" i="8"/>
  <c r="O682" i="8"/>
  <c r="N581" i="8"/>
  <c r="O581" i="8"/>
  <c r="P581" i="8"/>
  <c r="O660" i="8"/>
  <c r="P660" i="8"/>
  <c r="O742" i="8"/>
  <c r="P742" i="8"/>
  <c r="N742" i="8"/>
  <c r="P591" i="8"/>
  <c r="N591" i="8"/>
  <c r="O591" i="8"/>
  <c r="N636" i="8"/>
  <c r="O636" i="8"/>
  <c r="P636" i="8"/>
  <c r="O607" i="8"/>
  <c r="P607" i="8"/>
  <c r="N606" i="8"/>
  <c r="O606" i="8"/>
  <c r="P606" i="8"/>
  <c r="O717" i="8"/>
  <c r="P717" i="8"/>
  <c r="N576" i="8"/>
  <c r="O576" i="8"/>
  <c r="P576" i="8"/>
  <c r="N729" i="8"/>
  <c r="O733" i="8"/>
  <c r="P733" i="8"/>
  <c r="N733" i="8"/>
  <c r="O729" i="8"/>
  <c r="N734" i="8"/>
  <c r="O734" i="8"/>
  <c r="P734" i="8"/>
  <c r="P729" i="8"/>
  <c r="P649" i="8"/>
  <c r="N649" i="8"/>
  <c r="N730" i="8"/>
  <c r="O730" i="8"/>
  <c r="P730" i="8"/>
  <c r="O649" i="8"/>
  <c r="N728" i="8"/>
  <c r="O728" i="8"/>
  <c r="P728" i="8"/>
  <c r="O713" i="8"/>
  <c r="P713" i="8"/>
  <c r="N713" i="8"/>
  <c r="O435" i="8"/>
  <c r="P435" i="8"/>
  <c r="N590" i="8"/>
  <c r="O590" i="8"/>
  <c r="P590" i="8"/>
  <c r="N699" i="8"/>
  <c r="O699" i="8"/>
  <c r="P699" i="8"/>
  <c r="N629" i="8"/>
  <c r="O629" i="8"/>
  <c r="P629" i="8"/>
  <c r="N625" i="8"/>
  <c r="O625" i="8"/>
  <c r="P625" i="8"/>
  <c r="N435" i="8"/>
  <c r="N587" i="8"/>
  <c r="O587" i="8"/>
  <c r="P587" i="8"/>
  <c r="P612" i="8"/>
  <c r="O612" i="8"/>
  <c r="N612" i="8"/>
  <c r="N732" i="8"/>
  <c r="O732" i="8"/>
  <c r="P732" i="8"/>
  <c r="P609" i="8"/>
  <c r="O609" i="8"/>
  <c r="C609" i="8"/>
  <c r="N615" i="8"/>
  <c r="C615" i="8"/>
  <c r="O615" i="8"/>
  <c r="P615" i="8"/>
  <c r="P765" i="8"/>
  <c r="N765" i="8"/>
  <c r="N614" i="8"/>
  <c r="C614" i="8"/>
  <c r="O614" i="8"/>
  <c r="P614" i="8"/>
  <c r="N731" i="8"/>
  <c r="O731" i="8"/>
  <c r="P731" i="8"/>
  <c r="P657" i="8"/>
  <c r="O657" i="8"/>
  <c r="N657" i="8"/>
  <c r="N724" i="8"/>
  <c r="P724" i="8"/>
  <c r="O724" i="8"/>
  <c r="O604" i="8"/>
  <c r="P604" i="8"/>
  <c r="N604" i="8"/>
  <c r="N545" i="8"/>
  <c r="P545" i="8"/>
  <c r="O545" i="8"/>
  <c r="C545" i="8"/>
  <c r="O653" i="8"/>
  <c r="N653" i="8"/>
  <c r="P653" i="8"/>
  <c r="N603" i="8"/>
  <c r="C603" i="8"/>
  <c r="O603" i="8"/>
  <c r="P603" i="8"/>
  <c r="O618" i="8"/>
  <c r="N600" i="8"/>
  <c r="P600" i="8"/>
  <c r="O600" i="8"/>
  <c r="N667" i="8"/>
  <c r="O667" i="8"/>
  <c r="P667" i="8"/>
  <c r="N596" i="8"/>
  <c r="O596" i="8"/>
  <c r="P596" i="8"/>
  <c r="P618" i="8"/>
  <c r="N618" i="8"/>
  <c r="N681" i="8"/>
  <c r="O681" i="8"/>
  <c r="P681" i="8"/>
  <c r="N582" i="8"/>
  <c r="P582" i="8"/>
  <c r="O582" i="8"/>
  <c r="P666" i="8"/>
  <c r="N666" i="8"/>
  <c r="O666" i="8"/>
  <c r="N592" i="8"/>
  <c r="O592" i="8"/>
  <c r="P592" i="8"/>
  <c r="O598" i="8"/>
  <c r="N598" i="8"/>
  <c r="P598" i="8"/>
  <c r="N643" i="8"/>
  <c r="O643" i="8"/>
  <c r="P643" i="8"/>
  <c r="P628" i="8"/>
  <c r="O628" i="8"/>
  <c r="N628" i="8"/>
  <c r="N593" i="8"/>
  <c r="O593" i="8"/>
  <c r="N516" i="8"/>
  <c r="O516" i="8"/>
  <c r="N589" i="8"/>
  <c r="O589" i="8"/>
  <c r="P589" i="8"/>
  <c r="N546" i="8"/>
  <c r="O551" i="8"/>
  <c r="O595" i="8"/>
  <c r="N655" i="8"/>
  <c r="N656" i="8"/>
  <c r="O543" i="8"/>
  <c r="N611" i="8"/>
  <c r="N392" i="8"/>
  <c r="P617" i="8"/>
  <c r="N617" i="8"/>
  <c r="O617" i="8"/>
  <c r="P658" i="8"/>
  <c r="N658" i="8"/>
  <c r="O658" i="8"/>
  <c r="N755" i="8"/>
  <c r="P755" i="8"/>
  <c r="O755" i="8"/>
  <c r="N577" i="8"/>
  <c r="P577" i="8"/>
  <c r="O577" i="8"/>
  <c r="N584" i="8"/>
  <c r="O584" i="8"/>
  <c r="P584" i="8"/>
  <c r="O519" i="8"/>
  <c r="P519" i="8"/>
  <c r="N519" i="8"/>
  <c r="N571" i="8"/>
  <c r="O571" i="8"/>
  <c r="P571" i="8"/>
  <c r="N651" i="8"/>
  <c r="O651" i="8"/>
  <c r="P651" i="8"/>
  <c r="N544" i="8"/>
  <c r="O544" i="8"/>
  <c r="P544" i="8"/>
  <c r="N585" i="8"/>
  <c r="O585" i="8"/>
  <c r="P585" i="8"/>
  <c r="N567" i="8"/>
  <c r="O567" i="8"/>
  <c r="P567" i="8"/>
  <c r="N566" i="8"/>
  <c r="O566" i="8"/>
  <c r="P566" i="8"/>
  <c r="N570" i="8"/>
  <c r="O570" i="8"/>
  <c r="P570" i="8"/>
  <c r="P613" i="8"/>
  <c r="O613" i="8"/>
  <c r="N613" i="8"/>
  <c r="N665" i="8"/>
  <c r="O665" i="8"/>
  <c r="P665" i="8"/>
  <c r="O656" i="8"/>
  <c r="P656" i="8"/>
  <c r="N559" i="8"/>
  <c r="O559" i="8"/>
  <c r="P559" i="8"/>
  <c r="P595" i="8"/>
  <c r="N595" i="8"/>
  <c r="N561" i="8"/>
  <c r="O561" i="8"/>
  <c r="P561" i="8"/>
  <c r="O655" i="8"/>
  <c r="P655" i="8"/>
  <c r="N553" i="8"/>
  <c r="O553" i="8"/>
  <c r="P553" i="8"/>
  <c r="P530" i="8"/>
  <c r="O530" i="8"/>
  <c r="N530" i="8"/>
  <c r="N557" i="8"/>
  <c r="O557" i="8"/>
  <c r="P557" i="8"/>
  <c r="N551" i="8"/>
  <c r="P551" i="8"/>
  <c r="N586" i="8"/>
  <c r="O586" i="8"/>
  <c r="P586" i="8"/>
  <c r="P546" i="8"/>
  <c r="O546" i="8"/>
  <c r="N563" i="8"/>
  <c r="O563" i="8"/>
  <c r="P563" i="8"/>
  <c r="P562" i="8"/>
  <c r="N562" i="8"/>
  <c r="O562" i="8"/>
  <c r="N524" i="8"/>
  <c r="O524" i="8"/>
  <c r="P524" i="8"/>
  <c r="O542" i="8"/>
  <c r="N543" i="8"/>
  <c r="P543" i="8"/>
  <c r="N542" i="8"/>
  <c r="P542" i="8"/>
  <c r="N641" i="8"/>
  <c r="O641" i="8"/>
  <c r="P641" i="8"/>
  <c r="N558" i="8"/>
  <c r="O558" i="8"/>
  <c r="P558" i="8"/>
  <c r="O611" i="8"/>
  <c r="P611" i="8"/>
  <c r="N511" i="8"/>
  <c r="O511" i="8"/>
  <c r="P511" i="8"/>
  <c r="P392" i="8"/>
  <c r="O392" i="8"/>
  <c r="O578" i="8"/>
  <c r="P578" i="8"/>
  <c r="N578" i="8"/>
  <c r="P579" i="8"/>
  <c r="O579" i="8"/>
  <c r="N579" i="8"/>
  <c r="N580" i="8"/>
  <c r="O580" i="8"/>
  <c r="P580" i="8"/>
  <c r="P549" i="8"/>
  <c r="N549" i="8"/>
  <c r="N550" i="8"/>
  <c r="O550" i="8"/>
  <c r="P550" i="8"/>
  <c r="N548" i="8"/>
  <c r="O548" i="8"/>
  <c r="P548" i="8"/>
  <c r="N601" i="8"/>
  <c r="O601" i="8"/>
  <c r="P601" i="8"/>
  <c r="N515" i="8"/>
  <c r="O515" i="8"/>
  <c r="P515" i="8"/>
  <c r="N525" i="8"/>
  <c r="O525" i="8"/>
  <c r="P525" i="8"/>
  <c r="N486" i="8"/>
  <c r="O486" i="8"/>
  <c r="P486" i="8"/>
  <c r="N537" i="8"/>
  <c r="O537" i="8"/>
  <c r="P537" i="8"/>
  <c r="N512" i="8"/>
  <c r="O512" i="8"/>
  <c r="P512" i="8"/>
  <c r="P458" i="8"/>
  <c r="O458" i="8"/>
  <c r="N458" i="8"/>
  <c r="N534" i="8"/>
  <c r="P534" i="8"/>
  <c r="O534" i="8"/>
  <c r="N664" i="8"/>
  <c r="O664" i="8"/>
  <c r="P664" i="8"/>
  <c r="N532" i="8"/>
  <c r="O532" i="8"/>
  <c r="P532" i="8"/>
  <c r="N539" i="8"/>
  <c r="O539" i="8"/>
  <c r="P539" i="8"/>
  <c r="N538" i="8"/>
  <c r="O538" i="8"/>
  <c r="P538" i="8"/>
  <c r="N493" i="8"/>
  <c r="P493" i="8"/>
  <c r="O493" i="8"/>
  <c r="N605" i="8"/>
  <c r="O605" i="8"/>
  <c r="P605" i="8"/>
  <c r="O569" i="8"/>
  <c r="O573" i="8"/>
  <c r="N572" i="8"/>
  <c r="O531" i="8"/>
  <c r="N568" i="8"/>
  <c r="P555" i="8"/>
  <c r="N453" i="8"/>
  <c r="O572" i="8"/>
  <c r="P572" i="8"/>
  <c r="N565" i="8"/>
  <c r="O565" i="8"/>
  <c r="P565" i="8"/>
  <c r="N498" i="8"/>
  <c r="O498" i="8"/>
  <c r="P498" i="8"/>
  <c r="O521" i="8"/>
  <c r="N521" i="8"/>
  <c r="P521" i="8"/>
  <c r="N529" i="8"/>
  <c r="P529" i="8"/>
  <c r="O529" i="8"/>
  <c r="N527" i="8"/>
  <c r="P527" i="8"/>
  <c r="O527" i="8"/>
  <c r="O506" i="8"/>
  <c r="N506" i="8"/>
  <c r="P506" i="8"/>
  <c r="O663" i="8"/>
  <c r="N663" i="8"/>
  <c r="P663" i="8"/>
  <c r="N522" i="8"/>
  <c r="P522" i="8"/>
  <c r="O522" i="8"/>
  <c r="N504" i="8"/>
  <c r="P504" i="8"/>
  <c r="O504" i="8"/>
  <c r="N320" i="8"/>
  <c r="P320" i="8"/>
  <c r="O320" i="8"/>
  <c r="O520" i="8"/>
  <c r="N520" i="8"/>
  <c r="P520" i="8"/>
  <c r="N573" i="8"/>
  <c r="P573" i="8"/>
  <c r="N640" i="8"/>
  <c r="O640" i="8"/>
  <c r="P640" i="8"/>
  <c r="N509" i="8"/>
  <c r="P509" i="8"/>
  <c r="O517" i="8"/>
  <c r="P517" i="8"/>
  <c r="N517" i="8"/>
  <c r="O509" i="8"/>
  <c r="P513" i="8"/>
  <c r="O513" i="8"/>
  <c r="N513" i="8"/>
  <c r="O642" i="8"/>
  <c r="N642" i="8"/>
  <c r="P642" i="8"/>
  <c r="N375" i="8"/>
  <c r="O375" i="8"/>
  <c r="P375" i="8"/>
  <c r="P569" i="8"/>
  <c r="N569" i="8"/>
  <c r="O568" i="8"/>
  <c r="P568" i="8"/>
  <c r="N533" i="8"/>
  <c r="O533" i="8"/>
  <c r="P533" i="8"/>
  <c r="N497" i="8"/>
  <c r="P497" i="8"/>
  <c r="O497" i="8"/>
  <c r="O507" i="8"/>
  <c r="N507" i="8"/>
  <c r="P507" i="8"/>
  <c r="P471" i="8"/>
  <c r="N471" i="8"/>
  <c r="O471" i="8"/>
  <c r="N495" i="8"/>
  <c r="P495" i="8"/>
  <c r="O495" i="8"/>
  <c r="P496" i="8"/>
  <c r="N496" i="8"/>
  <c r="O496" i="8"/>
  <c r="O505" i="8"/>
  <c r="P505" i="8"/>
  <c r="N505" i="8"/>
  <c r="P531" i="8"/>
  <c r="N531" i="8"/>
  <c r="N494" i="8"/>
  <c r="O494" i="8"/>
  <c r="P494" i="8"/>
  <c r="N555" i="8"/>
  <c r="O555" i="8"/>
  <c r="O501" i="8"/>
  <c r="P501" i="8"/>
  <c r="N501" i="8"/>
  <c r="O453" i="8"/>
  <c r="O554" i="8"/>
  <c r="P554" i="8"/>
  <c r="N554" i="8"/>
  <c r="N404" i="8"/>
  <c r="O404" i="8"/>
  <c r="P404" i="8"/>
  <c r="P518" i="8"/>
  <c r="N518" i="8"/>
  <c r="O518" i="8"/>
  <c r="N502" i="8"/>
  <c r="O502" i="8"/>
  <c r="P502" i="8"/>
  <c r="N469" i="8"/>
  <c r="O469" i="8"/>
  <c r="P469" i="8"/>
  <c r="P453" i="8"/>
  <c r="N454" i="8"/>
  <c r="O454" i="8"/>
  <c r="P454" i="8"/>
  <c r="N491" i="8"/>
  <c r="O491" i="8"/>
  <c r="P491" i="8"/>
  <c r="N492" i="8"/>
  <c r="O492" i="8"/>
  <c r="P492" i="8"/>
  <c r="N485" i="8"/>
  <c r="O485" i="8"/>
  <c r="P485" i="8"/>
  <c r="N489" i="8"/>
  <c r="O489" i="8"/>
  <c r="P489" i="8"/>
  <c r="N488" i="8"/>
  <c r="O488" i="8"/>
  <c r="P488" i="8"/>
  <c r="N662" i="8"/>
  <c r="O662" i="8"/>
  <c r="P662" i="8"/>
  <c r="N514" i="8"/>
  <c r="O514" i="8"/>
  <c r="P514" i="8"/>
  <c r="N523" i="8"/>
  <c r="P523" i="8"/>
  <c r="O523" i="8"/>
  <c r="N483" i="8"/>
  <c r="O483" i="8"/>
  <c r="P483" i="8"/>
  <c r="N466" i="8"/>
  <c r="O209" i="8"/>
  <c r="O482" i="8"/>
  <c r="P209" i="8"/>
  <c r="N209" i="8"/>
  <c r="N484" i="8"/>
  <c r="O484" i="8"/>
  <c r="P484" i="8"/>
  <c r="P478" i="8"/>
  <c r="N478" i="8"/>
  <c r="O478" i="8"/>
  <c r="O487" i="8"/>
  <c r="P487" i="8"/>
  <c r="N487" i="8"/>
  <c r="P466" i="8"/>
  <c r="O466" i="8"/>
  <c r="N479" i="8"/>
  <c r="O479" i="8"/>
  <c r="P479" i="8"/>
  <c r="N482" i="8"/>
  <c r="P482" i="8"/>
  <c r="P526" i="8"/>
  <c r="N526" i="8"/>
  <c r="O526" i="8"/>
  <c r="O412" i="8"/>
  <c r="P412" i="8"/>
  <c r="N412" i="8"/>
  <c r="N416" i="8"/>
  <c r="P416" i="8"/>
  <c r="O416" i="8"/>
  <c r="O490" i="8"/>
  <c r="P490" i="8"/>
  <c r="N490" i="8"/>
  <c r="N500" i="8"/>
  <c r="O500" i="8"/>
  <c r="P500" i="8"/>
  <c r="N536" i="8"/>
  <c r="O536" i="8"/>
  <c r="P536" i="8"/>
  <c r="O474" i="8"/>
  <c r="P474" i="8"/>
  <c r="N474" i="8"/>
  <c r="O473" i="8"/>
  <c r="P473" i="8"/>
  <c r="N473" i="8"/>
  <c r="P476" i="8"/>
  <c r="N476" i="8"/>
  <c r="O476" i="8"/>
  <c r="O468" i="8"/>
  <c r="N468" i="8"/>
  <c r="P468" i="8"/>
  <c r="O463" i="8"/>
  <c r="P463" i="8"/>
  <c r="N463" i="8"/>
  <c r="P462" i="8"/>
  <c r="O462" i="8"/>
  <c r="N462" i="8"/>
  <c r="N461" i="8"/>
  <c r="P461" i="8"/>
  <c r="O461" i="8"/>
  <c r="P481" i="8"/>
  <c r="O481" i="8"/>
  <c r="N481" i="8"/>
  <c r="N464" i="8"/>
  <c r="O464" i="8"/>
  <c r="P464" i="8"/>
  <c r="O459" i="8"/>
  <c r="P459" i="8"/>
  <c r="N459" i="8"/>
  <c r="P480" i="8"/>
  <c r="N480" i="8"/>
  <c r="O480" i="8"/>
  <c r="N383" i="8"/>
  <c r="O383" i="8"/>
  <c r="P383" i="8"/>
  <c r="N460" i="8"/>
  <c r="O460" i="8"/>
  <c r="P460" i="8"/>
  <c r="N588" i="8"/>
  <c r="O588" i="8"/>
  <c r="P588" i="8"/>
  <c r="N372" i="8"/>
  <c r="O372" i="8"/>
  <c r="P372" i="8"/>
  <c r="O211" i="8"/>
  <c r="N447" i="8"/>
  <c r="N528" i="8"/>
  <c r="P528" i="8"/>
  <c r="O528" i="8"/>
  <c r="P477" i="8"/>
  <c r="N477" i="8"/>
  <c r="O477" i="8"/>
  <c r="P450" i="8"/>
  <c r="O450" i="8"/>
  <c r="N450" i="8"/>
  <c r="P397" i="8"/>
  <c r="N397" i="8"/>
  <c r="O397" i="8"/>
  <c r="O452" i="8"/>
  <c r="P452" i="8"/>
  <c r="N452" i="8"/>
  <c r="N449" i="8"/>
  <c r="O449" i="8"/>
  <c r="P449" i="8"/>
  <c r="P431" i="5"/>
  <c r="Q431" i="5" s="1"/>
  <c r="P430" i="5"/>
  <c r="P429" i="5"/>
  <c r="N448" i="8"/>
  <c r="O448" i="8"/>
  <c r="P448" i="8"/>
  <c r="P475" i="8"/>
  <c r="N475" i="8"/>
  <c r="O475" i="8"/>
  <c r="N446" i="8"/>
  <c r="O446" i="8"/>
  <c r="P446" i="8"/>
  <c r="O440" i="8"/>
  <c r="P440" i="8"/>
  <c r="N440" i="8"/>
  <c r="N443" i="8"/>
  <c r="O443" i="8"/>
  <c r="P443" i="8"/>
  <c r="P436" i="8"/>
  <c r="O436" i="8"/>
  <c r="N436" i="8"/>
  <c r="N621" i="8"/>
  <c r="O621" i="8"/>
  <c r="P621" i="8"/>
  <c r="N363" i="8"/>
  <c r="O363" i="8"/>
  <c r="P363" i="8"/>
  <c r="P439" i="8"/>
  <c r="O439" i="8"/>
  <c r="N439" i="8"/>
  <c r="P444" i="8"/>
  <c r="N444" i="8"/>
  <c r="O444" i="8"/>
  <c r="N647" i="8"/>
  <c r="P647" i="8"/>
  <c r="O647" i="8"/>
  <c r="O442" i="8"/>
  <c r="P442" i="8"/>
  <c r="N442" i="8"/>
  <c r="N211" i="8"/>
  <c r="P211" i="8"/>
  <c r="O445" i="8"/>
  <c r="P445" i="8"/>
  <c r="N445" i="8"/>
  <c r="R429" i="5"/>
  <c r="Q429" i="5"/>
  <c r="P419" i="5"/>
  <c r="R419" i="5" s="1"/>
  <c r="P472" i="5"/>
  <c r="P426" i="5"/>
  <c r="R426" i="5" s="1"/>
  <c r="P427" i="5"/>
  <c r="R427" i="5" s="1"/>
  <c r="E408" i="5"/>
  <c r="P423" i="5"/>
  <c r="R423" i="5" s="1"/>
  <c r="P424" i="5"/>
  <c r="R424" i="5" s="1"/>
  <c r="P454" i="5"/>
  <c r="R454" i="5" s="1"/>
  <c r="P428" i="5"/>
  <c r="R428" i="5" s="1"/>
  <c r="H412" i="5"/>
  <c r="T412" i="5" s="1"/>
  <c r="P425" i="5"/>
  <c r="R425" i="5" s="1"/>
  <c r="P420" i="5"/>
  <c r="R420" i="5" s="1"/>
  <c r="P414" i="5"/>
  <c r="R414" i="5" s="1"/>
  <c r="P406" i="5"/>
  <c r="Q406" i="5" s="1"/>
  <c r="P405" i="5"/>
  <c r="R405" i="5" s="1"/>
  <c r="P410" i="5"/>
  <c r="Q410" i="5" s="1"/>
  <c r="P412" i="5"/>
  <c r="P338" i="5"/>
  <c r="P224" i="8"/>
  <c r="O224" i="8"/>
  <c r="N224" i="8"/>
  <c r="N455" i="8"/>
  <c r="P455" i="8"/>
  <c r="O455" i="8"/>
  <c r="P411" i="8"/>
  <c r="O411" i="8"/>
  <c r="N411" i="8"/>
  <c r="P377" i="8"/>
  <c r="O377" i="8"/>
  <c r="N377" i="8"/>
  <c r="O413" i="8"/>
  <c r="N413" i="8"/>
  <c r="P413" i="8"/>
  <c r="N423" i="8"/>
  <c r="P423" i="8"/>
  <c r="O423" i="8"/>
  <c r="N409" i="8"/>
  <c r="P409" i="8"/>
  <c r="O409" i="8"/>
  <c r="N322" i="8"/>
  <c r="P322" i="8"/>
  <c r="O322" i="8"/>
  <c r="P447" i="8"/>
  <c r="O447" i="8"/>
  <c r="N325" i="8"/>
  <c r="P325" i="8"/>
  <c r="O325" i="8"/>
  <c r="P395" i="8"/>
  <c r="O395" i="8"/>
  <c r="N395" i="8"/>
  <c r="P428" i="8"/>
  <c r="O428" i="8"/>
  <c r="N428" i="8"/>
  <c r="P414" i="8"/>
  <c r="O414" i="8"/>
  <c r="N414" i="8"/>
  <c r="P441" i="8"/>
  <c r="O441" i="8"/>
  <c r="N441" i="8"/>
  <c r="P302" i="8"/>
  <c r="O302" i="8"/>
  <c r="N302" i="8"/>
  <c r="P420" i="8"/>
  <c r="O420" i="8"/>
  <c r="N420" i="8"/>
  <c r="P451" i="8"/>
  <c r="O451" i="8"/>
  <c r="N451" i="8"/>
  <c r="P422" i="8"/>
  <c r="O422" i="8"/>
  <c r="N422" i="8"/>
  <c r="P398" i="8"/>
  <c r="O398" i="8"/>
  <c r="N398" i="8"/>
  <c r="P387" i="8"/>
  <c r="O387" i="8"/>
  <c r="N387" i="8"/>
  <c r="P279" i="8"/>
  <c r="O279" i="8"/>
  <c r="N279" i="8"/>
  <c r="P610" i="8"/>
  <c r="O610" i="8"/>
  <c r="N610" i="8"/>
  <c r="P374" i="8"/>
  <c r="O374" i="8"/>
  <c r="N374" i="8"/>
  <c r="P427" i="8"/>
  <c r="O427" i="8"/>
  <c r="N427" i="8"/>
  <c r="N421" i="8"/>
  <c r="P421" i="8"/>
  <c r="O421" i="8"/>
  <c r="N535" i="8"/>
  <c r="P535" i="8"/>
  <c r="O535" i="8"/>
  <c r="P353" i="8"/>
  <c r="O353" i="8"/>
  <c r="N353" i="8"/>
  <c r="P432" i="8"/>
  <c r="O432" i="8"/>
  <c r="N432" i="8"/>
  <c r="P430" i="8"/>
  <c r="O430" i="8"/>
  <c r="N430" i="8"/>
  <c r="P380" i="8"/>
  <c r="O380" i="8"/>
  <c r="N380" i="8"/>
  <c r="N456" i="8"/>
  <c r="P456" i="8"/>
  <c r="O456" i="8"/>
  <c r="N391" i="8"/>
  <c r="P391" i="8"/>
  <c r="O391" i="8"/>
  <c r="N393" i="8"/>
  <c r="P393" i="8"/>
  <c r="O393" i="8"/>
  <c r="N324" i="8"/>
  <c r="P324" i="8"/>
  <c r="O324" i="8"/>
  <c r="O315" i="8"/>
  <c r="N315" i="8"/>
  <c r="P315" i="8"/>
  <c r="N418" i="8"/>
  <c r="P418" i="8"/>
  <c r="O418" i="8"/>
  <c r="O351" i="8"/>
  <c r="N351" i="8"/>
  <c r="P351" i="8"/>
  <c r="P405" i="8"/>
  <c r="N405" i="8"/>
  <c r="O405" i="8"/>
  <c r="P352" i="8"/>
  <c r="O352" i="8"/>
  <c r="N352" i="8"/>
  <c r="P336" i="8"/>
  <c r="O336" i="8"/>
  <c r="N336" i="8"/>
  <c r="P434" i="8"/>
  <c r="O434" i="8"/>
  <c r="N434" i="8"/>
  <c r="P429" i="8"/>
  <c r="O429" i="8"/>
  <c r="N429" i="8"/>
  <c r="P350" i="8"/>
  <c r="O350" i="8"/>
  <c r="N350" i="8"/>
  <c r="P390" i="8"/>
  <c r="O390" i="8"/>
  <c r="N390" i="8"/>
  <c r="P382" i="8"/>
  <c r="O382" i="8"/>
  <c r="N382" i="8"/>
  <c r="P583" i="8"/>
  <c r="O583" i="8"/>
  <c r="N583" i="8"/>
  <c r="P271" i="8"/>
  <c r="O271" i="8"/>
  <c r="N271" i="8"/>
  <c r="P246" i="8"/>
  <c r="O246" i="8"/>
  <c r="N246" i="8"/>
  <c r="P231" i="8"/>
  <c r="O231" i="8"/>
  <c r="N231" i="8"/>
  <c r="N400" i="8"/>
  <c r="P400" i="8"/>
  <c r="O400" i="8"/>
  <c r="N318" i="8"/>
  <c r="P318" i="8"/>
  <c r="O318" i="8"/>
  <c r="N425" i="8"/>
  <c r="P425" i="8"/>
  <c r="O425" i="8"/>
  <c r="P343" i="8"/>
  <c r="O343" i="8"/>
  <c r="N343" i="8"/>
  <c r="P426" i="8"/>
  <c r="O426" i="8"/>
  <c r="N426" i="8"/>
  <c r="P379" i="8"/>
  <c r="O379" i="8"/>
  <c r="N379" i="8"/>
  <c r="P378" i="8"/>
  <c r="O378" i="8"/>
  <c r="N378" i="8"/>
  <c r="P385" i="8"/>
  <c r="O385" i="8"/>
  <c r="N385" i="8"/>
  <c r="N470" i="8"/>
  <c r="P470" i="8"/>
  <c r="O470" i="8"/>
  <c r="N321" i="8"/>
  <c r="P321" i="8"/>
  <c r="O321" i="8"/>
  <c r="N417" i="8"/>
  <c r="P417" i="8"/>
  <c r="O417" i="8"/>
  <c r="N410" i="8"/>
  <c r="P410" i="8"/>
  <c r="O410" i="8"/>
  <c r="P510" i="8"/>
  <c r="O510" i="8"/>
  <c r="N510" i="8"/>
  <c r="P419" i="8"/>
  <c r="O419" i="8"/>
  <c r="N419" i="8"/>
  <c r="P370" i="8"/>
  <c r="O370" i="8"/>
  <c r="N370" i="8"/>
  <c r="P332" i="8"/>
  <c r="O332" i="8"/>
  <c r="N332" i="8"/>
  <c r="P364" i="8"/>
  <c r="O364" i="8"/>
  <c r="N364" i="8"/>
  <c r="P384" i="8"/>
  <c r="O384" i="8"/>
  <c r="N384" i="8"/>
  <c r="P792" i="8"/>
  <c r="O792" i="8"/>
  <c r="N792" i="8"/>
  <c r="P376" i="8"/>
  <c r="O376" i="8"/>
  <c r="N376" i="8"/>
  <c r="P386" i="8"/>
  <c r="O386" i="8"/>
  <c r="N386" i="8"/>
  <c r="P389" i="8"/>
  <c r="O389" i="8"/>
  <c r="N389" i="8"/>
  <c r="P437" i="8"/>
  <c r="O437" i="8"/>
  <c r="N437" i="8"/>
  <c r="P438" i="8"/>
  <c r="O438" i="8"/>
  <c r="N438" i="8"/>
  <c r="P270" i="8"/>
  <c r="O270" i="8"/>
  <c r="N270" i="8"/>
  <c r="P403" i="8"/>
  <c r="O403" i="8"/>
  <c r="N403" i="8"/>
  <c r="P140" i="8"/>
  <c r="O140" i="8"/>
  <c r="N140" i="8"/>
  <c r="N358" i="8"/>
  <c r="P358" i="8"/>
  <c r="O358" i="8"/>
  <c r="O371" i="8"/>
  <c r="N371" i="8"/>
  <c r="P371" i="8"/>
  <c r="P373" i="8"/>
  <c r="O373" i="8"/>
  <c r="N373" i="8"/>
  <c r="P354" i="8"/>
  <c r="O354" i="8"/>
  <c r="N354" i="8"/>
  <c r="P388" i="8"/>
  <c r="O388" i="8"/>
  <c r="N388" i="8"/>
  <c r="P305" i="8"/>
  <c r="O305" i="8"/>
  <c r="N305" i="8"/>
  <c r="P431" i="8"/>
  <c r="O431" i="8"/>
  <c r="N431" i="8"/>
  <c r="P406" i="8"/>
  <c r="O406" i="8"/>
  <c r="N406" i="8"/>
  <c r="P396" i="8"/>
  <c r="O396" i="8"/>
  <c r="N396" i="8"/>
  <c r="H628" i="5"/>
  <c r="P416" i="5"/>
  <c r="R416" i="5" s="1"/>
  <c r="O418" i="5"/>
  <c r="P417" i="5"/>
  <c r="R417" i="5" s="1"/>
  <c r="P418" i="5"/>
  <c r="P422" i="5"/>
  <c r="O412" i="5"/>
  <c r="P413" i="5"/>
  <c r="R413" i="5" s="1"/>
  <c r="H379" i="5"/>
  <c r="T379" i="5" s="1"/>
  <c r="O379" i="5"/>
  <c r="S797" i="8" l="1"/>
  <c r="O797" i="8"/>
  <c r="P797" i="8"/>
  <c r="N797" i="8"/>
  <c r="B19" i="5"/>
  <c r="Q412" i="5"/>
  <c r="R412" i="5"/>
  <c r="Q416" i="5"/>
  <c r="Q419" i="5"/>
  <c r="Q414" i="5"/>
  <c r="Q420" i="5"/>
  <c r="Q413" i="5"/>
  <c r="R406" i="5"/>
  <c r="R410" i="5"/>
  <c r="Q454" i="5"/>
  <c r="Q426" i="5"/>
  <c r="R431" i="5"/>
  <c r="R430" i="5"/>
  <c r="Q430" i="5"/>
  <c r="R472" i="5"/>
  <c r="Q472" i="5"/>
  <c r="Q427" i="5"/>
  <c r="Q423" i="5"/>
  <c r="Q424" i="5"/>
  <c r="Q428" i="5"/>
  <c r="Q425" i="5"/>
  <c r="Q405" i="5"/>
  <c r="R338" i="5"/>
  <c r="Q338" i="5"/>
  <c r="Q417" i="5"/>
  <c r="R418" i="5"/>
  <c r="Q418" i="5"/>
  <c r="R422" i="5"/>
  <c r="Q422" i="5"/>
  <c r="E409" i="5"/>
  <c r="H408" i="5"/>
  <c r="T408" i="5" s="1"/>
  <c r="O408" i="5"/>
  <c r="H337" i="5"/>
  <c r="O337" i="5"/>
  <c r="T337" i="5"/>
  <c r="E398" i="5"/>
  <c r="T204" i="5"/>
  <c r="T363" i="5"/>
  <c r="T331" i="5"/>
  <c r="T332" i="5"/>
  <c r="T364" i="5"/>
  <c r="T133" i="5"/>
  <c r="T386" i="5"/>
  <c r="T336" i="5"/>
  <c r="T22" i="5"/>
  <c r="T23" i="5"/>
  <c r="T25" i="5"/>
  <c r="T26" i="5"/>
  <c r="T27" i="5"/>
  <c r="T28" i="5"/>
  <c r="T29" i="5"/>
  <c r="T24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9" i="5"/>
  <c r="T47" i="5"/>
  <c r="T48" i="5"/>
  <c r="T50" i="5"/>
  <c r="T51" i="5"/>
  <c r="T52" i="5"/>
  <c r="T53" i="5"/>
  <c r="T54" i="5"/>
  <c r="T55" i="5"/>
  <c r="T56" i="5"/>
  <c r="T57" i="5"/>
  <c r="T59" i="5"/>
  <c r="T58" i="5"/>
  <c r="T60" i="5"/>
  <c r="T61" i="5"/>
  <c r="T62" i="5"/>
  <c r="T63" i="5"/>
  <c r="T64" i="5"/>
  <c r="T65" i="5"/>
  <c r="T69" i="5"/>
  <c r="T66" i="5"/>
  <c r="T70" i="5"/>
  <c r="T67" i="5"/>
  <c r="T71" i="5"/>
  <c r="T68" i="5"/>
  <c r="T72" i="5"/>
  <c r="T73" i="5"/>
  <c r="T77" i="5"/>
  <c r="T78" i="5"/>
  <c r="T80" i="5"/>
  <c r="T75" i="5"/>
  <c r="T76" i="5"/>
  <c r="T79" i="5"/>
  <c r="T74" i="5"/>
  <c r="T81" i="5"/>
  <c r="T82" i="5"/>
  <c r="T83" i="5"/>
  <c r="T84" i="5"/>
  <c r="T85" i="5"/>
  <c r="T86" i="5"/>
  <c r="T87" i="5"/>
  <c r="T88" i="5"/>
  <c r="T89" i="5"/>
  <c r="T90" i="5"/>
  <c r="T91" i="5"/>
  <c r="T92" i="5"/>
  <c r="T96" i="5"/>
  <c r="T93" i="5"/>
  <c r="T95" i="5"/>
  <c r="T94" i="5"/>
  <c r="T99" i="5"/>
  <c r="T97" i="5"/>
  <c r="T98" i="5"/>
  <c r="T100" i="5"/>
  <c r="T101" i="5"/>
  <c r="T103" i="5"/>
  <c r="T104" i="5"/>
  <c r="T102" i="5"/>
  <c r="T105" i="5"/>
  <c r="T107" i="5"/>
  <c r="T106" i="5"/>
  <c r="T108" i="5"/>
  <c r="T109" i="5"/>
  <c r="T110" i="5"/>
  <c r="T111" i="5"/>
  <c r="T112" i="5"/>
  <c r="T113" i="5"/>
  <c r="T114" i="5"/>
  <c r="T115" i="5"/>
  <c r="T116" i="5"/>
  <c r="T117" i="5"/>
  <c r="T119" i="5"/>
  <c r="T118" i="5"/>
  <c r="T120" i="5"/>
  <c r="T121" i="5"/>
  <c r="T126" i="5"/>
  <c r="T122" i="5"/>
  <c r="T123" i="5"/>
  <c r="T124" i="5"/>
  <c r="T125" i="5"/>
  <c r="T127" i="5"/>
  <c r="T130" i="5"/>
  <c r="T128" i="5"/>
  <c r="T131" i="5"/>
  <c r="T132" i="5"/>
  <c r="T129" i="5"/>
  <c r="T373" i="5"/>
  <c r="T134" i="5"/>
  <c r="T135" i="5"/>
  <c r="T140" i="5"/>
  <c r="T141" i="5"/>
  <c r="T136" i="5"/>
  <c r="T137" i="5"/>
  <c r="T138" i="5"/>
  <c r="T139" i="5"/>
  <c r="T142" i="5"/>
  <c r="T143" i="5"/>
  <c r="T145" i="5"/>
  <c r="T144" i="5"/>
  <c r="T146" i="5"/>
  <c r="T148" i="5"/>
  <c r="T147" i="5"/>
  <c r="T149" i="5"/>
  <c r="T150" i="5"/>
  <c r="T151" i="5"/>
  <c r="T152" i="5"/>
  <c r="T155" i="5"/>
  <c r="T153" i="5"/>
  <c r="T156" i="5"/>
  <c r="T157" i="5"/>
  <c r="T154" i="5"/>
  <c r="T158" i="5"/>
  <c r="T159" i="5"/>
  <c r="T160" i="5"/>
  <c r="T164" i="5"/>
  <c r="T165" i="5"/>
  <c r="T161" i="5"/>
  <c r="T163" i="5"/>
  <c r="T162" i="5"/>
  <c r="T171" i="5"/>
  <c r="T169" i="5"/>
  <c r="T170" i="5"/>
  <c r="T166" i="5"/>
  <c r="T167" i="5"/>
  <c r="T168" i="5"/>
  <c r="T173" i="5"/>
  <c r="T172" i="5"/>
  <c r="T178" i="5"/>
  <c r="T174" i="5"/>
  <c r="T175" i="5"/>
  <c r="T176" i="5"/>
  <c r="T177" i="5"/>
  <c r="T179" i="5"/>
  <c r="T180" i="5"/>
  <c r="T181" i="5"/>
  <c r="T182" i="5"/>
  <c r="T183" i="5"/>
  <c r="T184" i="5"/>
  <c r="T185" i="5"/>
  <c r="T186" i="5"/>
  <c r="T188" i="5"/>
  <c r="T189" i="5"/>
  <c r="T187" i="5"/>
  <c r="T190" i="5"/>
  <c r="T191" i="5"/>
  <c r="T192" i="5"/>
  <c r="T194" i="5"/>
  <c r="T195" i="5"/>
  <c r="T193" i="5"/>
  <c r="T196" i="5"/>
  <c r="T198" i="5"/>
  <c r="T199" i="5"/>
  <c r="T200" i="5"/>
  <c r="T202" i="5"/>
  <c r="T201" i="5"/>
  <c r="T203" i="5"/>
  <c r="T205" i="5"/>
  <c r="T219" i="5"/>
  <c r="T206" i="5"/>
  <c r="T207" i="5"/>
  <c r="T209" i="5"/>
  <c r="T210" i="5"/>
  <c r="T211" i="5"/>
  <c r="T212" i="5"/>
  <c r="T213" i="5"/>
  <c r="T214" i="5"/>
  <c r="T215" i="5"/>
  <c r="T216" i="5"/>
  <c r="T217" i="5"/>
  <c r="T218" i="5"/>
  <c r="T222" i="5"/>
  <c r="T226" i="5"/>
  <c r="T223" i="5"/>
  <c r="T220" i="5"/>
  <c r="T224" i="5"/>
  <c r="T225" i="5"/>
  <c r="T221" i="5"/>
  <c r="T628" i="5"/>
  <c r="T227" i="5"/>
  <c r="T228" i="5"/>
  <c r="T229" i="5"/>
  <c r="T230" i="5"/>
  <c r="T232" i="5"/>
  <c r="T233" i="5"/>
  <c r="T231" i="5"/>
  <c r="T234" i="5"/>
  <c r="T235" i="5"/>
  <c r="T236" i="5"/>
  <c r="T237" i="5"/>
  <c r="T238" i="5"/>
  <c r="T239" i="5"/>
  <c r="T240" i="5"/>
  <c r="T241" i="5"/>
  <c r="T242" i="5"/>
  <c r="T627" i="5"/>
  <c r="T243" i="5"/>
  <c r="T244" i="5"/>
  <c r="T245" i="5"/>
  <c r="T252" i="5"/>
  <c r="T248" i="5"/>
  <c r="T249" i="5"/>
  <c r="T250" i="5"/>
  <c r="T247" i="5"/>
  <c r="T251" i="5"/>
  <c r="T293" i="5"/>
  <c r="T253" i="5"/>
  <c r="T254" i="5"/>
  <c r="T255" i="5"/>
  <c r="T256" i="5"/>
  <c r="T257" i="5"/>
  <c r="T258" i="5"/>
  <c r="T259" i="5"/>
  <c r="T260" i="5"/>
  <c r="T264" i="5"/>
  <c r="T261" i="5"/>
  <c r="T262" i="5"/>
  <c r="T263" i="5"/>
  <c r="T265" i="5"/>
  <c r="T266" i="5"/>
  <c r="T268" i="5"/>
  <c r="T269" i="5"/>
  <c r="T273" i="5"/>
  <c r="T270" i="5"/>
  <c r="T271" i="5"/>
  <c r="T274" i="5"/>
  <c r="T278" i="5"/>
  <c r="T276" i="5"/>
  <c r="T277" i="5"/>
  <c r="T279" i="5"/>
  <c r="T280" i="5"/>
  <c r="T282" i="5"/>
  <c r="T284" i="5"/>
  <c r="T288" i="5"/>
  <c r="T292" i="5"/>
  <c r="T301" i="5"/>
  <c r="T303" i="5"/>
  <c r="T289" i="5"/>
  <c r="T290" i="5"/>
  <c r="T304" i="5"/>
  <c r="T308" i="5"/>
  <c r="T295" i="5"/>
  <c r="T296" i="5"/>
  <c r="T297" i="5"/>
  <c r="T298" i="5"/>
  <c r="T299" i="5"/>
  <c r="T291" i="5"/>
  <c r="T307" i="5"/>
  <c r="T294" i="5"/>
  <c r="T300" i="5"/>
  <c r="T286" i="5"/>
  <c r="T311" i="5"/>
  <c r="T309" i="5"/>
  <c r="T310" i="5"/>
  <c r="T305" i="5"/>
  <c r="T312" i="5"/>
  <c r="T313" i="5"/>
  <c r="T362" i="5"/>
  <c r="T315" i="5"/>
  <c r="T342" i="5"/>
  <c r="T316" i="5"/>
  <c r="T306" i="5"/>
  <c r="T317" i="5"/>
  <c r="T318" i="5"/>
  <c r="T351" i="5"/>
  <c r="T323" i="5"/>
  <c r="T326" i="5"/>
  <c r="T327" i="5"/>
  <c r="T328" i="5"/>
  <c r="T329" i="5"/>
  <c r="T334" i="5"/>
  <c r="T348" i="5"/>
  <c r="T353" i="5"/>
  <c r="T380" i="5"/>
  <c r="H22" i="5"/>
  <c r="H23" i="5"/>
  <c r="H25" i="5"/>
  <c r="H26" i="5"/>
  <c r="H27" i="5"/>
  <c r="H28" i="5"/>
  <c r="H29" i="5"/>
  <c r="H24" i="5"/>
  <c r="H30" i="5"/>
  <c r="H31" i="5"/>
  <c r="H32" i="5"/>
  <c r="H33" i="5"/>
  <c r="H35" i="5"/>
  <c r="H36" i="5"/>
  <c r="H37" i="5"/>
  <c r="H38" i="5"/>
  <c r="H39" i="5"/>
  <c r="H41" i="5"/>
  <c r="H42" i="5"/>
  <c r="H43" i="5"/>
  <c r="H44" i="5"/>
  <c r="H45" i="5"/>
  <c r="H46" i="5"/>
  <c r="H49" i="5"/>
  <c r="H47" i="5"/>
  <c r="H48" i="5"/>
  <c r="H50" i="5"/>
  <c r="H51" i="5"/>
  <c r="H52" i="5"/>
  <c r="H54" i="5"/>
  <c r="H55" i="5"/>
  <c r="H56" i="5"/>
  <c r="H57" i="5"/>
  <c r="H58" i="5"/>
  <c r="H60" i="5"/>
  <c r="H61" i="5"/>
  <c r="H62" i="5"/>
  <c r="H63" i="5"/>
  <c r="H64" i="5"/>
  <c r="H65" i="5"/>
  <c r="H69" i="5"/>
  <c r="H66" i="5"/>
  <c r="H70" i="5"/>
  <c r="H67" i="5"/>
  <c r="H71" i="5"/>
  <c r="H68" i="5"/>
  <c r="H72" i="5"/>
  <c r="H73" i="5"/>
  <c r="H77" i="5"/>
  <c r="H78" i="5"/>
  <c r="H80" i="5"/>
  <c r="H75" i="5"/>
  <c r="H76" i="5"/>
  <c r="H79" i="5"/>
  <c r="H74" i="5"/>
  <c r="H81" i="5"/>
  <c r="H82" i="5"/>
  <c r="H85" i="5"/>
  <c r="H86" i="5"/>
  <c r="H89" i="5"/>
  <c r="H90" i="5"/>
  <c r="H96" i="5"/>
  <c r="H93" i="5"/>
  <c r="H95" i="5"/>
  <c r="H94" i="5"/>
  <c r="H99" i="5"/>
  <c r="H97" i="5"/>
  <c r="H98" i="5"/>
  <c r="H100" i="5"/>
  <c r="H101" i="5"/>
  <c r="H103" i="5"/>
  <c r="H104" i="5"/>
  <c r="H102" i="5"/>
  <c r="H105" i="5"/>
  <c r="H107" i="5"/>
  <c r="H106" i="5"/>
  <c r="H108" i="5"/>
  <c r="H109" i="5"/>
  <c r="H110" i="5"/>
  <c r="H111" i="5"/>
  <c r="H113" i="5"/>
  <c r="H115" i="5"/>
  <c r="H116" i="5"/>
  <c r="H119" i="5"/>
  <c r="H118" i="5"/>
  <c r="H120" i="5"/>
  <c r="H121" i="5"/>
  <c r="H126" i="5"/>
  <c r="H123" i="5"/>
  <c r="H124" i="5"/>
  <c r="H125" i="5"/>
  <c r="H127" i="5"/>
  <c r="H130" i="5"/>
  <c r="H128" i="5"/>
  <c r="H129" i="5"/>
  <c r="H134" i="5"/>
  <c r="H135" i="5"/>
  <c r="H141" i="5"/>
  <c r="H136" i="5"/>
  <c r="H137" i="5"/>
  <c r="H138" i="5"/>
  <c r="H139" i="5"/>
  <c r="H142" i="5"/>
  <c r="H143" i="5"/>
  <c r="H145" i="5"/>
  <c r="H144" i="5"/>
  <c r="H146" i="5"/>
  <c r="H148" i="5"/>
  <c r="H147" i="5"/>
  <c r="H149" i="5"/>
  <c r="H150" i="5"/>
  <c r="H151" i="5"/>
  <c r="H152" i="5"/>
  <c r="H155" i="5"/>
  <c r="H153" i="5"/>
  <c r="H157" i="5"/>
  <c r="H154" i="5"/>
  <c r="H158" i="5"/>
  <c r="H159" i="5"/>
  <c r="H164" i="5"/>
  <c r="H165" i="5"/>
  <c r="H161" i="5"/>
  <c r="H163" i="5"/>
  <c r="H171" i="5"/>
  <c r="H169" i="5"/>
  <c r="H170" i="5"/>
  <c r="H166" i="5"/>
  <c r="H167" i="5"/>
  <c r="H168" i="5"/>
  <c r="H173" i="5"/>
  <c r="H172" i="5"/>
  <c r="H175" i="5"/>
  <c r="H176" i="5"/>
  <c r="H177" i="5"/>
  <c r="H179" i="5"/>
  <c r="H181" i="5"/>
  <c r="H182" i="5"/>
  <c r="H183" i="5"/>
  <c r="H184" i="5"/>
  <c r="H185" i="5"/>
  <c r="H186" i="5"/>
  <c r="H188" i="5"/>
  <c r="H187" i="5"/>
  <c r="H194" i="5"/>
  <c r="H193" i="5"/>
  <c r="H196" i="5"/>
  <c r="H198" i="5"/>
  <c r="H197" i="5"/>
  <c r="T197" i="5" s="1"/>
  <c r="H199" i="5"/>
  <c r="H200" i="5"/>
  <c r="H202" i="5"/>
  <c r="H201" i="5"/>
  <c r="H203" i="5"/>
  <c r="H219" i="5"/>
  <c r="H206" i="5"/>
  <c r="H207" i="5"/>
  <c r="H209" i="5"/>
  <c r="H210" i="5"/>
  <c r="H213" i="5"/>
  <c r="H214" i="5"/>
  <c r="H215" i="5"/>
  <c r="H216" i="5"/>
  <c r="H217" i="5"/>
  <c r="H218" i="5"/>
  <c r="H222" i="5"/>
  <c r="H226" i="5"/>
  <c r="H223" i="5"/>
  <c r="H220" i="5"/>
  <c r="H224" i="5"/>
  <c r="H225" i="5"/>
  <c r="H221" i="5"/>
  <c r="H227" i="5"/>
  <c r="H228" i="5"/>
  <c r="H229" i="5"/>
  <c r="H230" i="5"/>
  <c r="H232" i="5"/>
  <c r="H233" i="5"/>
  <c r="H234" i="5"/>
  <c r="H235" i="5"/>
  <c r="H236" i="5"/>
  <c r="H237" i="5"/>
  <c r="H238" i="5"/>
  <c r="H239" i="5"/>
  <c r="H242" i="5"/>
  <c r="H243" i="5"/>
  <c r="H244" i="5"/>
  <c r="H245" i="5"/>
  <c r="H252" i="5"/>
  <c r="H248" i="5"/>
  <c r="H249" i="5"/>
  <c r="H250" i="5"/>
  <c r="H247" i="5"/>
  <c r="H251" i="5"/>
  <c r="H293" i="5"/>
  <c r="H253" i="5"/>
  <c r="H254" i="5"/>
  <c r="H255" i="5"/>
  <c r="H256" i="5"/>
  <c r="H257" i="5"/>
  <c r="H258" i="5"/>
  <c r="H260" i="5"/>
  <c r="H264" i="5"/>
  <c r="H261" i="5"/>
  <c r="H266" i="5"/>
  <c r="H267" i="5"/>
  <c r="T267" i="5" s="1"/>
  <c r="H268" i="5"/>
  <c r="H269" i="5"/>
  <c r="H273" i="5"/>
  <c r="H270" i="5"/>
  <c r="H271" i="5"/>
  <c r="H272" i="5"/>
  <c r="T272" i="5" s="1"/>
  <c r="H275" i="5"/>
  <c r="T275" i="5" s="1"/>
  <c r="H278" i="5"/>
  <c r="H276" i="5"/>
  <c r="H277" i="5"/>
  <c r="H279" i="5"/>
  <c r="H280" i="5"/>
  <c r="H282" i="5"/>
  <c r="H284" i="5"/>
  <c r="H283" i="5"/>
  <c r="T283" i="5" s="1"/>
  <c r="H292" i="5"/>
  <c r="H301" i="5"/>
  <c r="H303" i="5"/>
  <c r="H289" i="5"/>
  <c r="H287" i="5"/>
  <c r="T287" i="5" s="1"/>
  <c r="H304" i="5"/>
  <c r="H308" i="5"/>
  <c r="H295" i="5"/>
  <c r="H296" i="5"/>
  <c r="H297" i="5"/>
  <c r="H298" i="5"/>
  <c r="H299" i="5"/>
  <c r="H307" i="5"/>
  <c r="H300" i="5"/>
  <c r="H286" i="5"/>
  <c r="H311" i="5"/>
  <c r="H309" i="5"/>
  <c r="H310" i="5"/>
  <c r="H305" i="5"/>
  <c r="H312" i="5"/>
  <c r="H313" i="5"/>
  <c r="H362" i="5"/>
  <c r="H302" i="5"/>
  <c r="T302" i="5" s="1"/>
  <c r="H315" i="5"/>
  <c r="H342" i="5"/>
  <c r="H316" i="5"/>
  <c r="H306" i="5"/>
  <c r="H317" i="5"/>
  <c r="H318" i="5"/>
  <c r="H351" i="5"/>
  <c r="H319" i="5"/>
  <c r="T319" i="5" s="1"/>
  <c r="H321" i="5"/>
  <c r="T321" i="5" s="1"/>
  <c r="H323" i="5"/>
  <c r="H320" i="5"/>
  <c r="T320" i="5" s="1"/>
  <c r="H324" i="5"/>
  <c r="T324" i="5" s="1"/>
  <c r="H325" i="5"/>
  <c r="T325" i="5" s="1"/>
  <c r="H330" i="5"/>
  <c r="T330" i="5" s="1"/>
  <c r="H333" i="5"/>
  <c r="T333" i="5" s="1"/>
  <c r="H334" i="5"/>
  <c r="H335" i="5"/>
  <c r="T335" i="5" s="1"/>
  <c r="H341" i="5"/>
  <c r="T341" i="5" s="1"/>
  <c r="H340" i="5"/>
  <c r="T340" i="5" s="1"/>
  <c r="H343" i="5"/>
  <c r="T343" i="5" s="1"/>
  <c r="H344" i="5"/>
  <c r="T344" i="5" s="1"/>
  <c r="H349" i="5"/>
  <c r="T349" i="5" s="1"/>
  <c r="H350" i="5"/>
  <c r="T350" i="5" s="1"/>
  <c r="H347" i="5"/>
  <c r="T347" i="5" s="1"/>
  <c r="H352" i="5"/>
  <c r="T352" i="5" s="1"/>
  <c r="H355" i="5"/>
  <c r="T355" i="5" s="1"/>
  <c r="H353" i="5"/>
  <c r="T356" i="5"/>
  <c r="H359" i="5"/>
  <c r="H354" i="5"/>
  <c r="T354" i="5" s="1"/>
  <c r="H380" i="5"/>
  <c r="H358" i="5"/>
  <c r="T358" i="5" s="1"/>
  <c r="H204" i="5"/>
  <c r="H363" i="5"/>
  <c r="H331" i="5"/>
  <c r="H332" i="5"/>
  <c r="H366" i="5"/>
  <c r="T366" i="5" s="1"/>
  <c r="H365" i="5"/>
  <c r="T365" i="5" s="1"/>
  <c r="H367" i="5"/>
  <c r="T367" i="5" s="1"/>
  <c r="H368" i="5"/>
  <c r="T368" i="5" s="1"/>
  <c r="H369" i="5"/>
  <c r="T369" i="5" s="1"/>
  <c r="H370" i="5"/>
  <c r="T370" i="5" s="1"/>
  <c r="H364" i="5"/>
  <c r="H371" i="5"/>
  <c r="T371" i="5" s="1"/>
  <c r="H374" i="5"/>
  <c r="T374" i="5" s="1"/>
  <c r="H375" i="5"/>
  <c r="T375" i="5" s="1"/>
  <c r="H377" i="5"/>
  <c r="T377" i="5" s="1"/>
  <c r="H378" i="5"/>
  <c r="T378" i="5" s="1"/>
  <c r="H382" i="5"/>
  <c r="T382" i="5" s="1"/>
  <c r="H383" i="5"/>
  <c r="T383" i="5" s="1"/>
  <c r="H384" i="5"/>
  <c r="T384" i="5" s="1"/>
  <c r="H385" i="5"/>
  <c r="T385" i="5" s="1"/>
  <c r="H389" i="5"/>
  <c r="T389" i="5" s="1"/>
  <c r="H393" i="5"/>
  <c r="T393" i="5" s="1"/>
  <c r="H394" i="5"/>
  <c r="T394" i="5" s="1"/>
  <c r="H392" i="5"/>
  <c r="T392" i="5" s="1"/>
  <c r="H390" i="5"/>
  <c r="T390" i="5" s="1"/>
  <c r="H391" i="5"/>
  <c r="T391" i="5" s="1"/>
  <c r="H395" i="5"/>
  <c r="T395" i="5" s="1"/>
  <c r="H388" i="5"/>
  <c r="T388" i="5" s="1"/>
  <c r="H397" i="5"/>
  <c r="T397" i="5" s="1"/>
  <c r="H396" i="5"/>
  <c r="T396" i="5" s="1"/>
  <c r="H399" i="5"/>
  <c r="T399" i="5" s="1"/>
  <c r="H400" i="5"/>
  <c r="T400" i="5" s="1"/>
  <c r="H443" i="5"/>
  <c r="T443" i="5" s="1"/>
  <c r="H133" i="5"/>
  <c r="H442" i="5"/>
  <c r="T442" i="5" s="1"/>
  <c r="H444" i="5"/>
  <c r="T444" i="5" s="1"/>
  <c r="H386" i="5"/>
  <c r="H521" i="5"/>
  <c r="T521" i="5" s="1"/>
  <c r="H522" i="5"/>
  <c r="T522" i="5" s="1"/>
  <c r="H523" i="5"/>
  <c r="T523" i="5" s="1"/>
  <c r="H579" i="5"/>
  <c r="T579" i="5" s="1"/>
  <c r="H580" i="5"/>
  <c r="T580" i="5" s="1"/>
  <c r="H581" i="5"/>
  <c r="T581" i="5" s="1"/>
  <c r="H645" i="5"/>
  <c r="T645" i="5" s="1"/>
  <c r="H643" i="5"/>
  <c r="T643" i="5" s="1"/>
  <c r="H644" i="5"/>
  <c r="T644" i="5" s="1"/>
  <c r="H705" i="5"/>
  <c r="T705" i="5" s="1"/>
  <c r="H704" i="5"/>
  <c r="T704" i="5" s="1"/>
  <c r="H706" i="5"/>
  <c r="T706" i="5" s="1"/>
  <c r="H336" i="5"/>
  <c r="H745" i="5"/>
  <c r="H746" i="5"/>
  <c r="H747" i="5"/>
  <c r="O395" i="5"/>
  <c r="O400" i="5"/>
  <c r="O336" i="5"/>
  <c r="B16" i="5" l="1"/>
  <c r="B17" i="5" s="1"/>
  <c r="H409" i="5"/>
  <c r="T409" i="5" s="1"/>
  <c r="O409" i="5"/>
  <c r="H398" i="5"/>
  <c r="T398" i="5" s="1"/>
  <c r="O398" i="5"/>
  <c r="O399" i="5"/>
  <c r="E387" i="5"/>
  <c r="O391" i="5"/>
  <c r="O390" i="5"/>
  <c r="O392" i="5"/>
  <c r="O367" i="5"/>
  <c r="O383" i="5"/>
  <c r="O394" i="5"/>
  <c r="O393" i="5"/>
  <c r="O396" i="5"/>
  <c r="O382" i="5"/>
  <c r="O387" i="5" l="1"/>
  <c r="H387" i="5"/>
  <c r="T387" i="5" s="1"/>
  <c r="O389" i="5"/>
  <c r="O386" i="5"/>
  <c r="O197" i="5" l="1"/>
  <c r="E381" i="5"/>
  <c r="O366" i="5"/>
  <c r="O381" i="5" l="1"/>
  <c r="H381" i="5"/>
  <c r="T381" i="5" s="1"/>
  <c r="O380" i="5"/>
  <c r="E360" i="5"/>
  <c r="O384" i="5"/>
  <c r="P22" i="5"/>
  <c r="P23" i="5"/>
  <c r="P25" i="5"/>
  <c r="P26" i="5"/>
  <c r="P27" i="5"/>
  <c r="P28" i="5"/>
  <c r="P29" i="5"/>
  <c r="P24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9" i="5"/>
  <c r="P47" i="5"/>
  <c r="P48" i="5"/>
  <c r="P50" i="5"/>
  <c r="P51" i="5"/>
  <c r="P52" i="5"/>
  <c r="P53" i="5"/>
  <c r="P54" i="5"/>
  <c r="P55" i="5"/>
  <c r="P56" i="5"/>
  <c r="P57" i="5"/>
  <c r="P59" i="5"/>
  <c r="P58" i="5"/>
  <c r="P60" i="5"/>
  <c r="P61" i="5"/>
  <c r="P62" i="5"/>
  <c r="P63" i="5"/>
  <c r="P64" i="5"/>
  <c r="P65" i="5"/>
  <c r="P69" i="5"/>
  <c r="P66" i="5"/>
  <c r="P70" i="5"/>
  <c r="P67" i="5"/>
  <c r="P71" i="5"/>
  <c r="P68" i="5"/>
  <c r="P72" i="5"/>
  <c r="P73" i="5"/>
  <c r="P77" i="5"/>
  <c r="P78" i="5"/>
  <c r="P80" i="5"/>
  <c r="P75" i="5"/>
  <c r="P76" i="5"/>
  <c r="P79" i="5"/>
  <c r="P74" i="5"/>
  <c r="P81" i="5"/>
  <c r="P82" i="5"/>
  <c r="P83" i="5"/>
  <c r="P84" i="5"/>
  <c r="P85" i="5"/>
  <c r="P86" i="5"/>
  <c r="P87" i="5"/>
  <c r="P88" i="5"/>
  <c r="P89" i="5"/>
  <c r="P90" i="5"/>
  <c r="P91" i="5"/>
  <c r="P92" i="5"/>
  <c r="P96" i="5"/>
  <c r="P93" i="5"/>
  <c r="P95" i="5"/>
  <c r="P94" i="5"/>
  <c r="P99" i="5"/>
  <c r="P97" i="5"/>
  <c r="P98" i="5"/>
  <c r="P100" i="5"/>
  <c r="P101" i="5"/>
  <c r="P103" i="5"/>
  <c r="P104" i="5"/>
  <c r="P102" i="5"/>
  <c r="P105" i="5"/>
  <c r="P107" i="5"/>
  <c r="P106" i="5"/>
  <c r="P108" i="5"/>
  <c r="P109" i="5"/>
  <c r="P110" i="5"/>
  <c r="P111" i="5"/>
  <c r="P112" i="5"/>
  <c r="P113" i="5"/>
  <c r="P114" i="5"/>
  <c r="P115" i="5"/>
  <c r="P116" i="5"/>
  <c r="P117" i="5"/>
  <c r="P119" i="5"/>
  <c r="P118" i="5"/>
  <c r="P120" i="5"/>
  <c r="P121" i="5"/>
  <c r="P126" i="5"/>
  <c r="P122" i="5"/>
  <c r="P123" i="5"/>
  <c r="P124" i="5"/>
  <c r="P125" i="5"/>
  <c r="P127" i="5"/>
  <c r="P130" i="5"/>
  <c r="P128" i="5"/>
  <c r="P131" i="5"/>
  <c r="P132" i="5"/>
  <c r="P129" i="5"/>
  <c r="P133" i="5"/>
  <c r="P134" i="5"/>
  <c r="P135" i="5"/>
  <c r="P140" i="5"/>
  <c r="P141" i="5"/>
  <c r="P136" i="5"/>
  <c r="P137" i="5"/>
  <c r="P138" i="5"/>
  <c r="P139" i="5"/>
  <c r="P142" i="5"/>
  <c r="P143" i="5"/>
  <c r="P145" i="5"/>
  <c r="P144" i="5"/>
  <c r="P146" i="5"/>
  <c r="P148" i="5"/>
  <c r="P147" i="5"/>
  <c r="P149" i="5"/>
  <c r="P150" i="5"/>
  <c r="P151" i="5"/>
  <c r="P152" i="5"/>
  <c r="P155" i="5"/>
  <c r="P153" i="5"/>
  <c r="P156" i="5"/>
  <c r="P157" i="5"/>
  <c r="P154" i="5"/>
  <c r="P158" i="5"/>
  <c r="P159" i="5"/>
  <c r="P160" i="5"/>
  <c r="P164" i="5"/>
  <c r="P165" i="5"/>
  <c r="P161" i="5"/>
  <c r="P163" i="5"/>
  <c r="P162" i="5"/>
  <c r="P171" i="5"/>
  <c r="P169" i="5"/>
  <c r="P170" i="5"/>
  <c r="P166" i="5"/>
  <c r="P167" i="5"/>
  <c r="P168" i="5"/>
  <c r="P173" i="5"/>
  <c r="P172" i="5"/>
  <c r="P178" i="5"/>
  <c r="P174" i="5"/>
  <c r="P175" i="5"/>
  <c r="P176" i="5"/>
  <c r="P177" i="5"/>
  <c r="P179" i="5"/>
  <c r="P180" i="5"/>
  <c r="P181" i="5"/>
  <c r="P182" i="5"/>
  <c r="P183" i="5"/>
  <c r="P184" i="5"/>
  <c r="P185" i="5"/>
  <c r="P186" i="5"/>
  <c r="P188" i="5"/>
  <c r="P189" i="5"/>
  <c r="P187" i="5"/>
  <c r="P190" i="5"/>
  <c r="P191" i="5"/>
  <c r="P192" i="5"/>
  <c r="P194" i="5"/>
  <c r="P195" i="5"/>
  <c r="P193" i="5"/>
  <c r="P196" i="5"/>
  <c r="P198" i="5"/>
  <c r="P202" i="5"/>
  <c r="P201" i="5"/>
  <c r="P203" i="5"/>
  <c r="P205" i="5"/>
  <c r="P204" i="5"/>
  <c r="P206" i="5"/>
  <c r="P207" i="5"/>
  <c r="P209" i="5"/>
  <c r="P210" i="5"/>
  <c r="P211" i="5"/>
  <c r="P212" i="5"/>
  <c r="P213" i="5"/>
  <c r="P214" i="5"/>
  <c r="P215" i="5"/>
  <c r="P216" i="5"/>
  <c r="P217" i="5"/>
  <c r="P218" i="5"/>
  <c r="P222" i="5"/>
  <c r="P226" i="5"/>
  <c r="P223" i="5"/>
  <c r="P220" i="5"/>
  <c r="P224" i="5"/>
  <c r="P225" i="5"/>
  <c r="P221" i="5"/>
  <c r="P227" i="5"/>
  <c r="P228" i="5"/>
  <c r="P229" i="5"/>
  <c r="P230" i="5"/>
  <c r="P232" i="5"/>
  <c r="P233" i="5"/>
  <c r="P231" i="5"/>
  <c r="P234" i="5"/>
  <c r="P235" i="5"/>
  <c r="P236" i="5"/>
  <c r="P237" i="5"/>
  <c r="P238" i="5"/>
  <c r="P239" i="5"/>
  <c r="P240" i="5"/>
  <c r="P241" i="5"/>
  <c r="P242" i="5"/>
  <c r="P627" i="5"/>
  <c r="P243" i="5"/>
  <c r="P244" i="5"/>
  <c r="P245" i="5"/>
  <c r="P248" i="5"/>
  <c r="P249" i="5"/>
  <c r="P250" i="5"/>
  <c r="P247" i="5"/>
  <c r="P251" i="5"/>
  <c r="P253" i="5"/>
  <c r="P254" i="5"/>
  <c r="P255" i="5"/>
  <c r="P256" i="5"/>
  <c r="P257" i="5"/>
  <c r="P258" i="5"/>
  <c r="P259" i="5"/>
  <c r="P260" i="5"/>
  <c r="P264" i="5"/>
  <c r="P261" i="5"/>
  <c r="P262" i="5"/>
  <c r="P263" i="5"/>
  <c r="P265" i="5"/>
  <c r="P266" i="5"/>
  <c r="P268" i="5"/>
  <c r="P269" i="5"/>
  <c r="P273" i="5"/>
  <c r="P270" i="5"/>
  <c r="P271" i="5"/>
  <c r="P278" i="5"/>
  <c r="P276" i="5"/>
  <c r="P277" i="5"/>
  <c r="P279" i="5"/>
  <c r="P280" i="5"/>
  <c r="P282" i="5"/>
  <c r="P284" i="5"/>
  <c r="P288" i="5"/>
  <c r="P292" i="5"/>
  <c r="P289" i="5"/>
  <c r="P293" i="5"/>
  <c r="P294" i="5"/>
  <c r="P291" i="5"/>
  <c r="P290" i="5"/>
  <c r="P286" i="5"/>
  <c r="P295" i="5"/>
  <c r="P296" i="5"/>
  <c r="P297" i="5"/>
  <c r="P298" i="5"/>
  <c r="P299" i="5"/>
  <c r="P301" i="5"/>
  <c r="P300" i="5"/>
  <c r="P305" i="5"/>
  <c r="P304" i="5"/>
  <c r="P306" i="5"/>
  <c r="P316" i="5"/>
  <c r="P317" i="5"/>
  <c r="P318" i="5"/>
  <c r="P323" i="5"/>
  <c r="P326" i="5"/>
  <c r="P327" i="5"/>
  <c r="P328" i="5"/>
  <c r="P329" i="5"/>
  <c r="P332" i="5"/>
  <c r="P331" i="5"/>
  <c r="P334" i="5"/>
  <c r="P342" i="5"/>
  <c r="P348" i="5"/>
  <c r="P351" i="5"/>
  <c r="P362" i="5"/>
  <c r="P364" i="5"/>
  <c r="P373" i="5"/>
  <c r="Q22" i="5"/>
  <c r="P421" i="5"/>
  <c r="R421" i="5" s="1"/>
  <c r="O353" i="5"/>
  <c r="Q421" i="5" l="1"/>
  <c r="P281" i="5"/>
  <c r="R281" i="5" s="1"/>
  <c r="P339" i="5"/>
  <c r="P407" i="5"/>
  <c r="P208" i="5"/>
  <c r="P409" i="5"/>
  <c r="R409" i="5" s="1"/>
  <c r="P411" i="5"/>
  <c r="R411" i="5" s="1"/>
  <c r="P404" i="5"/>
  <c r="Q404" i="5" s="1"/>
  <c r="P408" i="5"/>
  <c r="P403" i="5"/>
  <c r="R403" i="5" s="1"/>
  <c r="P197" i="5"/>
  <c r="R197" i="5" s="1"/>
  <c r="P379" i="5"/>
  <c r="R379" i="5" s="1"/>
  <c r="P401" i="5"/>
  <c r="R401" i="5" s="1"/>
  <c r="P337" i="5"/>
  <c r="Q337" i="5" s="1"/>
  <c r="P388" i="5"/>
  <c r="R388" i="5" s="1"/>
  <c r="P398" i="5"/>
  <c r="R398" i="5" s="1"/>
  <c r="O360" i="5"/>
  <c r="H360" i="5"/>
  <c r="T360" i="5" s="1"/>
  <c r="P400" i="5"/>
  <c r="R400" i="5" s="1"/>
  <c r="P395" i="5"/>
  <c r="R395" i="5" s="1"/>
  <c r="P399" i="5"/>
  <c r="R399" i="5" s="1"/>
  <c r="P336" i="5"/>
  <c r="Q336" i="5" s="1"/>
  <c r="P387" i="5"/>
  <c r="R387" i="5" s="1"/>
  <c r="P390" i="5"/>
  <c r="R390" i="5" s="1"/>
  <c r="P391" i="5"/>
  <c r="R391" i="5" s="1"/>
  <c r="P367" i="5"/>
  <c r="R367" i="5" s="1"/>
  <c r="P392" i="5"/>
  <c r="R392" i="5" s="1"/>
  <c r="P394" i="5"/>
  <c r="R394" i="5" s="1"/>
  <c r="P383" i="5"/>
  <c r="R383" i="5" s="1"/>
  <c r="P396" i="5"/>
  <c r="R396" i="5" s="1"/>
  <c r="P393" i="5"/>
  <c r="R393" i="5" s="1"/>
  <c r="P389" i="5"/>
  <c r="R389" i="5" s="1"/>
  <c r="P382" i="5"/>
  <c r="R382" i="5" s="1"/>
  <c r="P381" i="5"/>
  <c r="R381" i="5" s="1"/>
  <c r="P386" i="5"/>
  <c r="Q386" i="5" s="1"/>
  <c r="P200" i="5"/>
  <c r="R200" i="5" s="1"/>
  <c r="P366" i="5"/>
  <c r="R366" i="5" s="1"/>
  <c r="P380" i="5"/>
  <c r="Q380" i="5" s="1"/>
  <c r="P360" i="5"/>
  <c r="R360" i="5" s="1"/>
  <c r="P384" i="5"/>
  <c r="R384" i="5" s="1"/>
  <c r="P385" i="5"/>
  <c r="R385" i="5" s="1"/>
  <c r="P375" i="5"/>
  <c r="R375" i="5" s="1"/>
  <c r="P359" i="5"/>
  <c r="R359" i="5" s="1"/>
  <c r="P302" i="5"/>
  <c r="R302" i="5" s="1"/>
  <c r="P252" i="5"/>
  <c r="P706" i="5"/>
  <c r="R706" i="5" s="1"/>
  <c r="P579" i="5"/>
  <c r="R579" i="5" s="1"/>
  <c r="P378" i="5"/>
  <c r="R378" i="5" s="1"/>
  <c r="P370" i="5"/>
  <c r="R370" i="5" s="1"/>
  <c r="P365" i="5"/>
  <c r="R365" i="5" s="1"/>
  <c r="P354" i="5"/>
  <c r="R354" i="5" s="1"/>
  <c r="P346" i="5"/>
  <c r="P340" i="5"/>
  <c r="R340" i="5" s="1"/>
  <c r="P320" i="5"/>
  <c r="R320" i="5" s="1"/>
  <c r="P308" i="5"/>
  <c r="P303" i="5"/>
  <c r="P285" i="5"/>
  <c r="P275" i="5"/>
  <c r="P267" i="5"/>
  <c r="P199" i="5"/>
  <c r="R199" i="5" s="1"/>
  <c r="P580" i="5"/>
  <c r="R580" i="5" s="1"/>
  <c r="P347" i="5"/>
  <c r="R347" i="5" s="1"/>
  <c r="P311" i="5"/>
  <c r="P283" i="5"/>
  <c r="R283" i="5" s="1"/>
  <c r="P219" i="5"/>
  <c r="P644" i="5"/>
  <c r="R644" i="5" s="1"/>
  <c r="P521" i="5"/>
  <c r="R521" i="5" s="1"/>
  <c r="P374" i="5"/>
  <c r="R374" i="5" s="1"/>
  <c r="P368" i="5"/>
  <c r="R368" i="5" s="1"/>
  <c r="P357" i="5"/>
  <c r="P350" i="5"/>
  <c r="R350" i="5" s="1"/>
  <c r="P330" i="5"/>
  <c r="R330" i="5" s="1"/>
  <c r="P322" i="5"/>
  <c r="P313" i="5"/>
  <c r="P307" i="5"/>
  <c r="P274" i="5"/>
  <c r="P628" i="5"/>
  <c r="R628" i="5" s="1"/>
  <c r="P745" i="5"/>
  <c r="R745" i="5" s="1"/>
  <c r="P363" i="5"/>
  <c r="P643" i="5"/>
  <c r="R643" i="5" s="1"/>
  <c r="P444" i="5"/>
  <c r="R444" i="5" s="1"/>
  <c r="P371" i="5"/>
  <c r="R371" i="5" s="1"/>
  <c r="P355" i="5"/>
  <c r="R355" i="5" s="1"/>
  <c r="P333" i="5"/>
  <c r="R333" i="5" s="1"/>
  <c r="P324" i="5"/>
  <c r="R324" i="5" s="1"/>
  <c r="P314" i="5"/>
  <c r="P287" i="5"/>
  <c r="R287" i="5" s="1"/>
  <c r="P272" i="5"/>
  <c r="P246" i="5"/>
  <c r="P747" i="5"/>
  <c r="R747" i="5" s="1"/>
  <c r="P704" i="5"/>
  <c r="R704" i="5" s="1"/>
  <c r="P645" i="5"/>
  <c r="R645" i="5" s="1"/>
  <c r="P523" i="5"/>
  <c r="R523" i="5" s="1"/>
  <c r="P442" i="5"/>
  <c r="R442" i="5" s="1"/>
  <c r="P377" i="5"/>
  <c r="R377" i="5" s="1"/>
  <c r="P397" i="5"/>
  <c r="R397" i="5" s="1"/>
  <c r="P369" i="5"/>
  <c r="R369" i="5" s="1"/>
  <c r="P358" i="5"/>
  <c r="R358" i="5" s="1"/>
  <c r="P352" i="5"/>
  <c r="R352" i="5" s="1"/>
  <c r="P345" i="5"/>
  <c r="P344" i="5"/>
  <c r="R344" i="5" s="1"/>
  <c r="P341" i="5"/>
  <c r="R341" i="5" s="1"/>
  <c r="P325" i="5"/>
  <c r="R325" i="5" s="1"/>
  <c r="P321" i="5"/>
  <c r="Q321" i="5" s="1"/>
  <c r="P315" i="5"/>
  <c r="P312" i="5"/>
  <c r="P746" i="5"/>
  <c r="R746" i="5" s="1"/>
  <c r="P705" i="5"/>
  <c r="R705" i="5" s="1"/>
  <c r="P581" i="5"/>
  <c r="R581" i="5" s="1"/>
  <c r="P522" i="5"/>
  <c r="R522" i="5" s="1"/>
  <c r="P443" i="5"/>
  <c r="R443" i="5" s="1"/>
  <c r="P372" i="5"/>
  <c r="P353" i="5"/>
  <c r="R353" i="5" s="1"/>
  <c r="P356" i="5"/>
  <c r="R356" i="5" s="1"/>
  <c r="P349" i="5"/>
  <c r="R349" i="5" s="1"/>
  <c r="P343" i="5"/>
  <c r="R343" i="5" s="1"/>
  <c r="P335" i="5"/>
  <c r="R335" i="5" s="1"/>
  <c r="P319" i="5"/>
  <c r="R319" i="5" s="1"/>
  <c r="P309" i="5"/>
  <c r="P310" i="5"/>
  <c r="Q310" i="5" s="1"/>
  <c r="Q26" i="5"/>
  <c r="Q27" i="5"/>
  <c r="Q25" i="5"/>
  <c r="Q24" i="5"/>
  <c r="Q30" i="5"/>
  <c r="Q28" i="5"/>
  <c r="Q29" i="5"/>
  <c r="Q23" i="5"/>
  <c r="Q32" i="5"/>
  <c r="Q34" i="5"/>
  <c r="Q31" i="5"/>
  <c r="Q33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9" i="5"/>
  <c r="Q58" i="5"/>
  <c r="Q61" i="5"/>
  <c r="Q60" i="5"/>
  <c r="Q62" i="5"/>
  <c r="Q63" i="5"/>
  <c r="Q64" i="5"/>
  <c r="Q65" i="5"/>
  <c r="Q69" i="5"/>
  <c r="Q66" i="5"/>
  <c r="Q70" i="5"/>
  <c r="Q68" i="5"/>
  <c r="Q71" i="5"/>
  <c r="Q67" i="5"/>
  <c r="Q77" i="5"/>
  <c r="Q78" i="5"/>
  <c r="Q72" i="5"/>
  <c r="Q74" i="5"/>
  <c r="Q80" i="5"/>
  <c r="Q75" i="5"/>
  <c r="Q76" i="5"/>
  <c r="Q79" i="5"/>
  <c r="Q73" i="5"/>
  <c r="Q81" i="5"/>
  <c r="Q82" i="5"/>
  <c r="Q83" i="5"/>
  <c r="Q84" i="5"/>
  <c r="Q85" i="5"/>
  <c r="Q88" i="5"/>
  <c r="Q86" i="5"/>
  <c r="Q87" i="5"/>
  <c r="Q90" i="5"/>
  <c r="Q92" i="5"/>
  <c r="Q91" i="5"/>
  <c r="Q89" i="5"/>
  <c r="Q95" i="5"/>
  <c r="Q94" i="5"/>
  <c r="Q93" i="5"/>
  <c r="Q96" i="5"/>
  <c r="Q97" i="5"/>
  <c r="Q99" i="5"/>
  <c r="Q98" i="5"/>
  <c r="Q100" i="5"/>
  <c r="Q104" i="5"/>
  <c r="Q102" i="5"/>
  <c r="Q101" i="5"/>
  <c r="Q103" i="5"/>
  <c r="Q105" i="5"/>
  <c r="Q106" i="5"/>
  <c r="Q107" i="5"/>
  <c r="Q108" i="5"/>
  <c r="Q112" i="5"/>
  <c r="Q110" i="5"/>
  <c r="Q111" i="5"/>
  <c r="Q109" i="5"/>
  <c r="Q114" i="5"/>
  <c r="Q113" i="5"/>
  <c r="Q115" i="5"/>
  <c r="Q116" i="5"/>
  <c r="Q119" i="5"/>
  <c r="Q118" i="5"/>
  <c r="Q117" i="5"/>
  <c r="Q120" i="5"/>
  <c r="Q121" i="5"/>
  <c r="Q122" i="5"/>
  <c r="Q123" i="5"/>
  <c r="Q126" i="5"/>
  <c r="Q124" i="5"/>
  <c r="Q125" i="5"/>
  <c r="Q130" i="5"/>
  <c r="Q128" i="5"/>
  <c r="Q127" i="5"/>
  <c r="Q131" i="5"/>
  <c r="Q132" i="5"/>
  <c r="Q129" i="5"/>
  <c r="Q134" i="5"/>
  <c r="Q137" i="5"/>
  <c r="Q135" i="5"/>
  <c r="Q140" i="5"/>
  <c r="Q138" i="5"/>
  <c r="Q139" i="5"/>
  <c r="Q141" i="5"/>
  <c r="Q136" i="5"/>
  <c r="Q146" i="5"/>
  <c r="Q143" i="5"/>
  <c r="Q144" i="5"/>
  <c r="Q145" i="5"/>
  <c r="Q147" i="5"/>
  <c r="Q149" i="5"/>
  <c r="Q150" i="5"/>
  <c r="Q148" i="5"/>
  <c r="Q142" i="5"/>
  <c r="Q133" i="5"/>
  <c r="Q153" i="5"/>
  <c r="Q152" i="5"/>
  <c r="Q155" i="5"/>
  <c r="Q156" i="5"/>
  <c r="Q157" i="5"/>
  <c r="Q154" i="5"/>
  <c r="Q158" i="5"/>
  <c r="Q159" i="5"/>
  <c r="Q160" i="5"/>
  <c r="Q161" i="5"/>
  <c r="Q164" i="5"/>
  <c r="Q165" i="5"/>
  <c r="Q163" i="5"/>
  <c r="Q162" i="5"/>
  <c r="Q168" i="5"/>
  <c r="Q167" i="5"/>
  <c r="Q166" i="5"/>
  <c r="Q169" i="5"/>
  <c r="Q170" i="5"/>
  <c r="Q171" i="5"/>
  <c r="Q172" i="5"/>
  <c r="Q173" i="5"/>
  <c r="Q175" i="5"/>
  <c r="Q176" i="5"/>
  <c r="Q177" i="5"/>
  <c r="Q174" i="5"/>
  <c r="Q178" i="5"/>
  <c r="Q179" i="5"/>
  <c r="Q180" i="5"/>
  <c r="Q181" i="5"/>
  <c r="Q182" i="5"/>
  <c r="Q183" i="5"/>
  <c r="Q186" i="5"/>
  <c r="Q184" i="5"/>
  <c r="Q185" i="5"/>
  <c r="Q188" i="5"/>
  <c r="Q189" i="5"/>
  <c r="Q190" i="5"/>
  <c r="Q187" i="5"/>
  <c r="Q191" i="5"/>
  <c r="Q192" i="5"/>
  <c r="Q194" i="5"/>
  <c r="Q195" i="5"/>
  <c r="Q193" i="5"/>
  <c r="Q196" i="5"/>
  <c r="Q198" i="5"/>
  <c r="Q151" i="5"/>
  <c r="Q202" i="5"/>
  <c r="Q203" i="5"/>
  <c r="Q204" i="5"/>
  <c r="Q201" i="5"/>
  <c r="Q206" i="5"/>
  <c r="Q207" i="5"/>
  <c r="Q209" i="5"/>
  <c r="Q210" i="5"/>
  <c r="Q213" i="5"/>
  <c r="Q211" i="5"/>
  <c r="Q212" i="5"/>
  <c r="Q214" i="5"/>
  <c r="Q215" i="5"/>
  <c r="Q216" i="5"/>
  <c r="Q217" i="5"/>
  <c r="Q218" i="5"/>
  <c r="Q222" i="5"/>
  <c r="Q223" i="5"/>
  <c r="Q220" i="5"/>
  <c r="Q224" i="5"/>
  <c r="Q205" i="5"/>
  <c r="Q226" i="5"/>
  <c r="Q225" i="5"/>
  <c r="Q221" i="5"/>
  <c r="Q230" i="5"/>
  <c r="Q227" i="5"/>
  <c r="Q228" i="5"/>
  <c r="Q233" i="5"/>
  <c r="Q232" i="5"/>
  <c r="Q229" i="5"/>
  <c r="Q234" i="5"/>
  <c r="Q235" i="5"/>
  <c r="Q236" i="5"/>
  <c r="Q237" i="5"/>
  <c r="Q239" i="5"/>
  <c r="Q231" i="5"/>
  <c r="Q238" i="5"/>
  <c r="Q240" i="5"/>
  <c r="Q241" i="5"/>
  <c r="Q244" i="5"/>
  <c r="Q242" i="5"/>
  <c r="Q243" i="5"/>
  <c r="Q245" i="5"/>
  <c r="Q627" i="5"/>
  <c r="Q248" i="5"/>
  <c r="Q249" i="5"/>
  <c r="Q250" i="5"/>
  <c r="Q247" i="5"/>
  <c r="Q251" i="5"/>
  <c r="Q253" i="5"/>
  <c r="Q254" i="5"/>
  <c r="Q259" i="5"/>
  <c r="Q256" i="5"/>
  <c r="Q257" i="5"/>
  <c r="Q255" i="5"/>
  <c r="Q258" i="5"/>
  <c r="Q264" i="5"/>
  <c r="Q261" i="5"/>
  <c r="Q262" i="5"/>
  <c r="Q263" i="5"/>
  <c r="Q260" i="5"/>
  <c r="Q266" i="5"/>
  <c r="Q265" i="5"/>
  <c r="Q268" i="5"/>
  <c r="Q269" i="5"/>
  <c r="Q273" i="5"/>
  <c r="Q270" i="5"/>
  <c r="Q271" i="5"/>
  <c r="Q276" i="5"/>
  <c r="Q277" i="5"/>
  <c r="Q278" i="5"/>
  <c r="Q279" i="5"/>
  <c r="Q280" i="5"/>
  <c r="Q282" i="5"/>
  <c r="Q284" i="5"/>
  <c r="Q293" i="5"/>
  <c r="Q289" i="5"/>
  <c r="Q288" i="5"/>
  <c r="Q286" i="5"/>
  <c r="Q292" i="5"/>
  <c r="Q291" i="5"/>
  <c r="Q295" i="5"/>
  <c r="Q290" i="5"/>
  <c r="Q298" i="5"/>
  <c r="Q296" i="5"/>
  <c r="Q294" i="5"/>
  <c r="Q297" i="5"/>
  <c r="Q299" i="5"/>
  <c r="Q301" i="5"/>
  <c r="Q300" i="5"/>
  <c r="Q305" i="5"/>
  <c r="Q304" i="5"/>
  <c r="Q306" i="5"/>
  <c r="Q317" i="5"/>
  <c r="Q318" i="5"/>
  <c r="Q323" i="5"/>
  <c r="Q316" i="5"/>
  <c r="Q328" i="5"/>
  <c r="Q327" i="5"/>
  <c r="Q326" i="5"/>
  <c r="Q329" i="5"/>
  <c r="Q331" i="5"/>
  <c r="Q332" i="5"/>
  <c r="Q334" i="5"/>
  <c r="Q342" i="5"/>
  <c r="Q351" i="5"/>
  <c r="Q362" i="5"/>
  <c r="Q373" i="5"/>
  <c r="Q348" i="5"/>
  <c r="O378" i="5"/>
  <c r="O374" i="5"/>
  <c r="O745" i="5"/>
  <c r="O705" i="5"/>
  <c r="O645" i="5"/>
  <c r="O579" i="5"/>
  <c r="O521" i="5"/>
  <c r="O443" i="5"/>
  <c r="O746" i="5"/>
  <c r="O704" i="5"/>
  <c r="O643" i="5"/>
  <c r="O580" i="5"/>
  <c r="O522" i="5"/>
  <c r="O442" i="5"/>
  <c r="O747" i="5"/>
  <c r="O706" i="5"/>
  <c r="O644" i="5"/>
  <c r="O581" i="5"/>
  <c r="O523" i="5"/>
  <c r="O444" i="5"/>
  <c r="O377" i="5"/>
  <c r="O359" i="5"/>
  <c r="O355" i="5"/>
  <c r="Q746" i="5" l="1"/>
  <c r="Q747" i="5"/>
  <c r="Q745" i="5"/>
  <c r="Q705" i="5"/>
  <c r="Q704" i="5"/>
  <c r="Q706" i="5"/>
  <c r="Q411" i="5"/>
  <c r="Q409" i="5"/>
  <c r="R407" i="5"/>
  <c r="Q407" i="5"/>
  <c r="R404" i="5"/>
  <c r="Q645" i="5"/>
  <c r="Q643" i="5"/>
  <c r="Q521" i="5"/>
  <c r="Q579" i="5"/>
  <c r="Q522" i="5"/>
  <c r="Q644" i="5"/>
  <c r="Q581" i="5"/>
  <c r="Q523" i="5"/>
  <c r="Q580" i="5"/>
  <c r="R275" i="5"/>
  <c r="Q275" i="5"/>
  <c r="Q281" i="5"/>
  <c r="R339" i="5"/>
  <c r="Q339" i="5"/>
  <c r="R208" i="5"/>
  <c r="Q208" i="5"/>
  <c r="R408" i="5"/>
  <c r="Q408" i="5"/>
  <c r="Q403" i="5"/>
  <c r="Q385" i="5"/>
  <c r="Q366" i="5"/>
  <c r="Q382" i="5"/>
  <c r="Q383" i="5"/>
  <c r="Q391" i="5"/>
  <c r="Q399" i="5"/>
  <c r="Q401" i="5"/>
  <c r="Q384" i="5"/>
  <c r="Q389" i="5"/>
  <c r="Q394" i="5"/>
  <c r="Q390" i="5"/>
  <c r="Q395" i="5"/>
  <c r="Q398" i="5"/>
  <c r="Q379" i="5"/>
  <c r="Q360" i="5"/>
  <c r="Q393" i="5"/>
  <c r="Q392" i="5"/>
  <c r="Q387" i="5"/>
  <c r="Q400" i="5"/>
  <c r="Q388" i="5"/>
  <c r="Q197" i="5"/>
  <c r="Q381" i="5"/>
  <c r="Q396" i="5"/>
  <c r="Q367" i="5"/>
  <c r="Q353" i="5"/>
  <c r="Q335" i="5"/>
  <c r="Q374" i="5"/>
  <c r="Q369" i="5"/>
  <c r="Q350" i="5"/>
  <c r="Q442" i="5"/>
  <c r="Q363" i="5"/>
  <c r="Q347" i="5"/>
  <c r="Q359" i="5"/>
  <c r="Q397" i="5"/>
  <c r="Q354" i="5"/>
  <c r="Q330" i="5"/>
  <c r="Q355" i="5"/>
  <c r="Q352" i="5"/>
  <c r="Q371" i="5"/>
  <c r="Q370" i="5"/>
  <c r="Q344" i="5"/>
  <c r="Q333" i="5"/>
  <c r="Q324" i="5"/>
  <c r="Q319" i="5"/>
  <c r="Q315" i="5"/>
  <c r="Q302" i="5"/>
  <c r="Q267" i="5"/>
  <c r="Q628" i="5"/>
  <c r="Q443" i="5"/>
  <c r="Q444" i="5"/>
  <c r="Q358" i="5"/>
  <c r="Q365" i="5"/>
  <c r="Q356" i="5"/>
  <c r="Q349" i="5"/>
  <c r="Q340" i="5"/>
  <c r="Q313" i="5"/>
  <c r="Q307" i="5"/>
  <c r="Q252" i="5"/>
  <c r="Q219" i="5"/>
  <c r="Q378" i="5"/>
  <c r="Q377" i="5"/>
  <c r="Q375" i="5"/>
  <c r="Q368" i="5"/>
  <c r="Q364" i="5"/>
  <c r="Q343" i="5"/>
  <c r="Q341" i="5"/>
  <c r="Q320" i="5"/>
  <c r="Q308" i="5"/>
  <c r="Q312" i="5"/>
  <c r="Q309" i="5"/>
  <c r="Q272" i="5"/>
  <c r="Q325" i="5"/>
  <c r="Q311" i="5"/>
  <c r="Q303" i="5"/>
  <c r="Q287" i="5"/>
  <c r="Q283" i="5"/>
  <c r="Q199" i="5"/>
  <c r="Q200" i="5"/>
  <c r="E348" i="5"/>
  <c r="E373" i="5"/>
  <c r="O373" i="5"/>
  <c r="O350" i="5"/>
  <c r="O352" i="5"/>
  <c r="O358" i="5"/>
  <c r="O397" i="5"/>
  <c r="O369" i="5"/>
  <c r="O365" i="5"/>
  <c r="O356" i="5"/>
  <c r="O319" i="5"/>
  <c r="O368" i="5"/>
  <c r="O308" i="5"/>
  <c r="O242" i="5"/>
  <c r="O151" i="5"/>
  <c r="O371" i="5"/>
  <c r="E372" i="5"/>
  <c r="O375" i="5"/>
  <c r="E357" i="5"/>
  <c r="Q357" i="5" s="1"/>
  <c r="Q372" i="5" l="1"/>
  <c r="R372" i="5"/>
  <c r="H373" i="5"/>
  <c r="R357" i="5"/>
  <c r="O372" i="5"/>
  <c r="H372" i="5"/>
  <c r="T372" i="5" s="1"/>
  <c r="O357" i="5"/>
  <c r="H357" i="5"/>
  <c r="T357" i="5" s="1"/>
  <c r="O348" i="5"/>
  <c r="H348" i="5"/>
  <c r="E346" i="5"/>
  <c r="Q346" i="5" s="1"/>
  <c r="E345" i="5"/>
  <c r="O354" i="5"/>
  <c r="Q345" i="5" l="1"/>
  <c r="R345" i="5"/>
  <c r="R346" i="5"/>
  <c r="O346" i="5"/>
  <c r="H346" i="5"/>
  <c r="T346" i="5" s="1"/>
  <c r="O345" i="5"/>
  <c r="H345" i="5"/>
  <c r="T345" i="5" s="1"/>
  <c r="O349" i="5"/>
  <c r="O351" i="5"/>
  <c r="O333" i="5"/>
  <c r="O342" i="5"/>
  <c r="O334" i="5" l="1"/>
  <c r="O343" i="5"/>
  <c r="O344" i="5"/>
  <c r="E294" i="5"/>
  <c r="O286" i="5"/>
  <c r="O332" i="5"/>
  <c r="O331" i="5"/>
  <c r="O341" i="5"/>
  <c r="H294" i="5" l="1"/>
  <c r="O294" i="5"/>
  <c r="O335" i="5"/>
  <c r="O133" i="5" l="1"/>
  <c r="E326" i="5" l="1"/>
  <c r="E327" i="5"/>
  <c r="E328" i="5"/>
  <c r="O328" i="5" l="1"/>
  <c r="O327" i="5"/>
  <c r="G326" i="5"/>
  <c r="H326" i="5" s="1"/>
  <c r="G328" i="5"/>
  <c r="H328" i="5" s="1"/>
  <c r="O326" i="5"/>
  <c r="G327" i="5"/>
  <c r="H327" i="5" s="1"/>
  <c r="O329" i="5" l="1"/>
  <c r="E322" i="5"/>
  <c r="O324" i="5"/>
  <c r="O321" i="5"/>
  <c r="O330" i="5"/>
  <c r="O325" i="5"/>
  <c r="O323" i="5"/>
  <c r="O82" i="5"/>
  <c r="O233" i="5"/>
  <c r="O316" i="5"/>
  <c r="O318" i="5"/>
  <c r="O271" i="5"/>
  <c r="R322" i="5" l="1"/>
  <c r="Q322" i="5"/>
  <c r="H322" i="5"/>
  <c r="T322" i="5" s="1"/>
  <c r="O322" i="5"/>
  <c r="E274" i="5"/>
  <c r="O244" i="5"/>
  <c r="O307" i="5"/>
  <c r="O293" i="5"/>
  <c r="O317" i="5"/>
  <c r="E314" i="5"/>
  <c r="O313" i="5"/>
  <c r="O315" i="5"/>
  <c r="Q314" i="5" l="1"/>
  <c r="R314" i="5"/>
  <c r="H274" i="5"/>
  <c r="H314" i="5"/>
  <c r="T314" i="5" s="1"/>
  <c r="Q274" i="5"/>
  <c r="O314" i="5"/>
  <c r="O274" i="5"/>
  <c r="O278" i="5"/>
  <c r="O364" i="5" l="1"/>
  <c r="O363" i="5"/>
  <c r="O362" i="5"/>
  <c r="O311" i="5"/>
  <c r="O312" i="5"/>
  <c r="O301" i="5"/>
  <c r="O292" i="5"/>
  <c r="O310" i="5"/>
  <c r="O309" i="5"/>
  <c r="O303" i="5"/>
  <c r="O305" i="5"/>
  <c r="O287" i="5" l="1"/>
  <c r="O304" i="5"/>
  <c r="O289" i="5"/>
  <c r="E285" i="5"/>
  <c r="O300" i="5"/>
  <c r="E290" i="5"/>
  <c r="E288" i="5"/>
  <c r="E291" i="5"/>
  <c r="O284" i="5"/>
  <c r="O298" i="5"/>
  <c r="O299" i="5"/>
  <c r="O283" i="5"/>
  <c r="O276" i="5"/>
  <c r="O279" i="5"/>
  <c r="O255" i="5"/>
  <c r="E192" i="5"/>
  <c r="E191" i="5"/>
  <c r="O191" i="5"/>
  <c r="O194" i="5"/>
  <c r="O186" i="5"/>
  <c r="O282" i="5"/>
  <c r="O280" i="5"/>
  <c r="O277" i="5"/>
  <c r="Q285" i="5" l="1"/>
  <c r="H191" i="5"/>
  <c r="H291" i="5"/>
  <c r="R285" i="5"/>
  <c r="H290" i="5"/>
  <c r="H285" i="5"/>
  <c r="O192" i="5"/>
  <c r="H192" i="5"/>
  <c r="O288" i="5"/>
  <c r="H288" i="5"/>
  <c r="O285" i="5"/>
  <c r="O291" i="5"/>
  <c r="O290" i="5"/>
  <c r="O270" i="5"/>
  <c r="E259" i="5"/>
  <c r="T285" i="5" l="1"/>
  <c r="O259" i="5"/>
  <c r="H259" i="5"/>
  <c r="O260" i="5"/>
  <c r="O275" i="5"/>
  <c r="O272" i="5"/>
  <c r="O267" i="5"/>
  <c r="O171" i="5"/>
  <c r="O273" i="5"/>
  <c r="O269" i="5"/>
  <c r="O268" i="5"/>
  <c r="O126" i="5"/>
  <c r="E265" i="5"/>
  <c r="O265" i="5" l="1"/>
  <c r="G265" i="5"/>
  <c r="H265" i="5" s="1"/>
  <c r="O264" i="5"/>
  <c r="O252" i="5" l="1"/>
  <c r="O237" i="5"/>
  <c r="E263" i="5"/>
  <c r="E262" i="5"/>
  <c r="O266" i="5"/>
  <c r="O257" i="5"/>
  <c r="O256" i="5"/>
  <c r="O261" i="5"/>
  <c r="O262" i="5" l="1"/>
  <c r="H262" i="5"/>
  <c r="O263" i="5"/>
  <c r="H263" i="5"/>
  <c r="E195" i="5"/>
  <c r="O226" i="5"/>
  <c r="O253" i="5"/>
  <c r="O195" i="5" l="1"/>
  <c r="H195" i="5"/>
  <c r="O247" i="5"/>
  <c r="O258" i="5"/>
  <c r="O225" i="5"/>
  <c r="E112" i="5"/>
  <c r="O200" i="5"/>
  <c r="O236" i="5"/>
  <c r="O250" i="5"/>
  <c r="O249" i="5"/>
  <c r="O248" i="5"/>
  <c r="O213" i="5"/>
  <c r="O251" i="5"/>
  <c r="O232" i="5"/>
  <c r="O254" i="5"/>
  <c r="O234" i="5"/>
  <c r="O153" i="5"/>
  <c r="O179" i="5"/>
  <c r="O206" i="5"/>
  <c r="O196" i="5"/>
  <c r="O297" i="5"/>
  <c r="O296" i="5"/>
  <c r="O295" i="5"/>
  <c r="O306" i="5"/>
  <c r="H112" i="5" l="1"/>
  <c r="O627" i="5"/>
  <c r="H627" i="5"/>
  <c r="Q246" i="5"/>
  <c r="Q748" i="5" s="1"/>
  <c r="H246" i="5"/>
  <c r="T246" i="5" s="1"/>
  <c r="T748" i="5" s="1"/>
  <c r="O628" i="5"/>
  <c r="O246" i="5"/>
  <c r="O138" i="5"/>
  <c r="E241" i="5"/>
  <c r="E240" i="5"/>
  <c r="O240" i="5" l="1"/>
  <c r="H240" i="5"/>
  <c r="O241" i="5"/>
  <c r="H241" i="5"/>
  <c r="O245" i="5"/>
  <c r="O145" i="5"/>
  <c r="O235" i="5"/>
  <c r="O199" i="5"/>
  <c r="O198" i="5"/>
  <c r="O217" i="5"/>
  <c r="O221" i="5"/>
  <c r="O214" i="5"/>
  <c r="O215" i="5"/>
  <c r="O220" i="5"/>
  <c r="O230" i="5"/>
  <c r="O219" i="5"/>
  <c r="O223" i="5"/>
  <c r="O224" i="5"/>
  <c r="O218" i="5"/>
  <c r="O239" i="5"/>
  <c r="O222" i="5"/>
  <c r="O238" i="5"/>
  <c r="E190" i="5" l="1"/>
  <c r="E231" i="5"/>
  <c r="O207" i="5"/>
  <c r="O216" i="5"/>
  <c r="O209" i="5"/>
  <c r="E205" i="5"/>
  <c r="O201" i="5"/>
  <c r="O124" i="5"/>
  <c r="O210" i="5"/>
  <c r="E212" i="5"/>
  <c r="E211" i="5"/>
  <c r="E180" i="5"/>
  <c r="O204" i="5"/>
  <c r="O203" i="5"/>
  <c r="O202" i="5"/>
  <c r="E178" i="5"/>
  <c r="O178" i="5"/>
  <c r="H178" i="5" l="1"/>
  <c r="H205" i="5"/>
  <c r="H231" i="5"/>
  <c r="H190" i="5"/>
  <c r="H180" i="5"/>
  <c r="O212" i="5"/>
  <c r="H212" i="5"/>
  <c r="O211" i="5"/>
  <c r="H211" i="5"/>
  <c r="O231" i="5"/>
  <c r="O205" i="5"/>
  <c r="O229" i="5"/>
  <c r="O228" i="5"/>
  <c r="O227" i="5"/>
  <c r="O243" i="5"/>
  <c r="O64" i="5"/>
  <c r="E174" i="5"/>
  <c r="O167" i="5"/>
  <c r="O161" i="5"/>
  <c r="O193" i="5"/>
  <c r="N187" i="5"/>
  <c r="N172" i="5"/>
  <c r="N154" i="5"/>
  <c r="N129" i="5"/>
  <c r="N121" i="5"/>
  <c r="N111" i="5"/>
  <c r="N106" i="5"/>
  <c r="N102" i="5"/>
  <c r="O187" i="5"/>
  <c r="O172" i="5"/>
  <c r="O154" i="5"/>
  <c r="O129" i="5"/>
  <c r="O121" i="5"/>
  <c r="O111" i="5"/>
  <c r="O106" i="5"/>
  <c r="O102" i="5"/>
  <c r="O163" i="5"/>
  <c r="O157" i="5"/>
  <c r="O141" i="5"/>
  <c r="O182" i="5"/>
  <c r="O181" i="5"/>
  <c r="O155" i="5"/>
  <c r="O174" i="5" l="1"/>
  <c r="H174" i="5"/>
  <c r="O150" i="5"/>
  <c r="O149" i="5"/>
  <c r="O173" i="5"/>
  <c r="O190" i="5"/>
  <c r="E189" i="5"/>
  <c r="O170" i="5"/>
  <c r="O169" i="5"/>
  <c r="O30" i="5"/>
  <c r="O188" i="5"/>
  <c r="O180" i="5"/>
  <c r="O183" i="5"/>
  <c r="O175" i="5"/>
  <c r="O185" i="5"/>
  <c r="O184" i="5"/>
  <c r="O110" i="5"/>
  <c r="O189" i="5" l="1"/>
  <c r="H189" i="5"/>
  <c r="O176" i="5"/>
  <c r="O159" i="5" l="1"/>
  <c r="O55" i="5"/>
  <c r="O165" i="5"/>
  <c r="O164" i="5"/>
  <c r="O116" i="5" l="1"/>
  <c r="E117" i="5" l="1"/>
  <c r="O117" i="5"/>
  <c r="O136" i="5"/>
  <c r="E91" i="5"/>
  <c r="O103" i="5"/>
  <c r="O158" i="5"/>
  <c r="E132" i="5"/>
  <c r="E140" i="5"/>
  <c r="E162" i="5"/>
  <c r="E88" i="5"/>
  <c r="O166" i="5"/>
  <c r="E160" i="5"/>
  <c r="E156" i="5"/>
  <c r="O168" i="5"/>
  <c r="O65" i="5"/>
  <c r="O148" i="5"/>
  <c r="H140" i="5" l="1"/>
  <c r="H88" i="5"/>
  <c r="O91" i="5"/>
  <c r="H91" i="5"/>
  <c r="O160" i="5"/>
  <c r="H160" i="5"/>
  <c r="O132" i="5"/>
  <c r="H132" i="5"/>
  <c r="O156" i="5"/>
  <c r="H156" i="5"/>
  <c r="O162" i="5"/>
  <c r="H162" i="5"/>
  <c r="O88" i="5"/>
  <c r="O140" i="5"/>
  <c r="G117" i="5"/>
  <c r="H117" i="5" s="1"/>
  <c r="O177" i="5"/>
  <c r="O80" i="5"/>
  <c r="O43" i="5" l="1"/>
  <c r="O56" i="5"/>
  <c r="O58" i="5"/>
  <c r="O109" i="5"/>
  <c r="O108" i="5"/>
  <c r="O101" i="5"/>
  <c r="O93" i="5"/>
  <c r="O89" i="5"/>
  <c r="O146" i="5"/>
  <c r="O125" i="5"/>
  <c r="O135" i="5"/>
  <c r="O86" i="5"/>
  <c r="O128" i="5"/>
  <c r="O152" i="5"/>
  <c r="E131" i="5" l="1"/>
  <c r="O123" i="5"/>
  <c r="E122" i="5"/>
  <c r="O122" i="5"/>
  <c r="O127" i="5"/>
  <c r="O134" i="5"/>
  <c r="H122" i="5" l="1"/>
  <c r="O131" i="5"/>
  <c r="H131" i="5"/>
  <c r="O107" i="5"/>
  <c r="O142" i="5"/>
  <c r="O144" i="5"/>
  <c r="O143" i="5"/>
  <c r="O147" i="5"/>
  <c r="O79" i="5"/>
  <c r="O95" i="5"/>
  <c r="O139" i="5"/>
  <c r="O68" i="5" l="1"/>
  <c r="O120" i="5"/>
  <c r="O62" i="5"/>
  <c r="O118" i="5"/>
  <c r="O104" i="5"/>
  <c r="O71" i="5"/>
  <c r="O113" i="5"/>
  <c r="O97" i="5"/>
  <c r="O130" i="5"/>
  <c r="O119" i="5"/>
  <c r="O137" i="5"/>
  <c r="O96" i="5" l="1"/>
  <c r="O99" i="5" l="1"/>
  <c r="O98" i="5"/>
  <c r="E87" i="5"/>
  <c r="O112" i="5"/>
  <c r="O105" i="5"/>
  <c r="E114" i="5"/>
  <c r="O115" i="5"/>
  <c r="O29" i="5"/>
  <c r="O87" i="5" l="1"/>
  <c r="H87" i="5"/>
  <c r="O114" i="5"/>
  <c r="H114" i="5"/>
  <c r="O39" i="5"/>
  <c r="O90" i="5" l="1"/>
  <c r="O94" i="5"/>
  <c r="E92" i="5"/>
  <c r="E34" i="5"/>
  <c r="H34" i="5" s="1"/>
  <c r="O73" i="5"/>
  <c r="O74" i="5"/>
  <c r="O72" i="5"/>
  <c r="O28" i="5"/>
  <c r="O92" i="5" l="1"/>
  <c r="H92" i="5"/>
  <c r="O67" i="5"/>
  <c r="E84" i="5"/>
  <c r="E83" i="5"/>
  <c r="O85" i="5"/>
  <c r="O77" i="5"/>
  <c r="O61" i="5"/>
  <c r="O76" i="5"/>
  <c r="O100" i="5"/>
  <c r="O75" i="5"/>
  <c r="O81" i="5"/>
  <c r="O66" i="5"/>
  <c r="O78" i="5"/>
  <c r="O70" i="5"/>
  <c r="O69" i="5"/>
  <c r="E59" i="5"/>
  <c r="H83" i="5" l="1"/>
  <c r="O84" i="5"/>
  <c r="H84" i="5"/>
  <c r="O59" i="5"/>
  <c r="H59" i="5"/>
  <c r="O83" i="5"/>
  <c r="O51" i="5"/>
  <c r="O52" i="5" l="1"/>
  <c r="O57" i="5" l="1"/>
  <c r="O63" i="5"/>
  <c r="O60" i="5"/>
  <c r="O33" i="5"/>
  <c r="O23" i="5"/>
  <c r="O24" i="5"/>
  <c r="O22" i="5"/>
  <c r="O41" i="5"/>
  <c r="O25" i="5"/>
  <c r="O34" i="5"/>
  <c r="O45" i="5"/>
  <c r="O50" i="5"/>
  <c r="O48" i="5"/>
  <c r="O26" i="5"/>
  <c r="O47" i="5"/>
  <c r="O42" i="5"/>
  <c r="O27" i="5"/>
  <c r="O31" i="5"/>
  <c r="O32" i="5"/>
  <c r="O46" i="5"/>
  <c r="O44" i="5"/>
  <c r="O49" i="5"/>
  <c r="O35" i="5"/>
  <c r="O36" i="5"/>
  <c r="O37" i="5"/>
  <c r="O38" i="5"/>
  <c r="O54" i="5"/>
  <c r="E53" i="5" l="1"/>
  <c r="E40" i="5"/>
  <c r="E748" i="5" s="1"/>
  <c r="H53" i="5" l="1"/>
  <c r="H40" i="5"/>
  <c r="O53" i="5"/>
  <c r="O40" i="5"/>
  <c r="B5" i="5" l="1"/>
  <c r="B12" i="5"/>
  <c r="B8" i="5"/>
  <c r="B9" i="5"/>
  <c r="B7" i="5"/>
  <c r="B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tc={513541D8-B7E0-4163-BEA8-89372F0099C0}</author>
    <author>tc={D5E0B0A5-3389-4DDC-BD79-47CE69400A7B}</author>
    <author>Sandra Schmid</author>
    <author>tc={5C7C156F-DC3D-4494-9A9F-A110199CF235}</author>
  </authors>
  <commentList>
    <comment ref="L417" authorId="0" shapeId="0" xr:uid="{513541D8-B7E0-4163-BEA8-89372F0099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Mahnstopp bis 23.08</t>
      </text>
    </comment>
    <comment ref="L437" authorId="1" shapeId="0" xr:uid="{D5E0B0A5-3389-4DDC-BD79-47CE69400A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Mahnstopp bis 25.08</t>
      </text>
    </comment>
    <comment ref="L515" authorId="2" shapeId="0" xr:uid="{4DB8DD75-52B4-4CB4-93AD-4EDD70FE71DF}">
      <text>
        <r>
          <rPr>
            <b/>
            <sz val="9"/>
            <color indexed="81"/>
            <rFont val="Tahoma"/>
            <charset val="1"/>
          </rPr>
          <t>Sandra Schmid:</t>
        </r>
        <r>
          <rPr>
            <sz val="9"/>
            <color indexed="81"/>
            <rFont val="Tahoma"/>
            <charset val="1"/>
          </rPr>
          <t xml:space="preserve">
Mahnstop bis 01.11</t>
        </r>
      </text>
    </comment>
    <comment ref="L634" authorId="3" shapeId="0" xr:uid="{5C7C156F-DC3D-4494-9A9F-A110199CF2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Mahnstopp bis 15.11</t>
      </text>
    </comment>
  </commentList>
</comments>
</file>

<file path=xl/sharedStrings.xml><?xml version="1.0" encoding="utf-8"?>
<sst xmlns="http://schemas.openxmlformats.org/spreadsheetml/2006/main" count="6342" uniqueCount="1848">
  <si>
    <t>M</t>
  </si>
  <si>
    <t>Divers</t>
  </si>
  <si>
    <t>Mercedes Financial</t>
  </si>
  <si>
    <t>Orllati Real Estate</t>
  </si>
  <si>
    <t>Mitarbeiter</t>
  </si>
  <si>
    <t>Tellco</t>
  </si>
  <si>
    <t>Loyer</t>
  </si>
  <si>
    <t>Wincasa</t>
  </si>
  <si>
    <t>01/24</t>
  </si>
  <si>
    <t>20024995</t>
  </si>
  <si>
    <t>Sieber Transport</t>
  </si>
  <si>
    <t>Transport</t>
  </si>
  <si>
    <t>Vestar 3525</t>
  </si>
  <si>
    <t>Mades</t>
  </si>
  <si>
    <t>FU</t>
  </si>
  <si>
    <t>3566/3495</t>
  </si>
  <si>
    <t>10009589</t>
  </si>
  <si>
    <t>10009590</t>
  </si>
  <si>
    <t>Helsana</t>
  </si>
  <si>
    <t>LAA 2024</t>
  </si>
  <si>
    <t>LAAC 2024</t>
  </si>
  <si>
    <t>4148608</t>
  </si>
  <si>
    <t>Coldtec</t>
  </si>
  <si>
    <t>3602</t>
  </si>
  <si>
    <t>14841204</t>
  </si>
  <si>
    <t>Gerlach</t>
  </si>
  <si>
    <t>Zoll</t>
  </si>
  <si>
    <t>Import Mades 12.01</t>
  </si>
  <si>
    <t>22400005</t>
  </si>
  <si>
    <t>Evolink</t>
  </si>
  <si>
    <t>Informatique</t>
  </si>
  <si>
    <t>1T2024</t>
  </si>
  <si>
    <t>22400261</t>
  </si>
  <si>
    <t>Antivirus 2024</t>
  </si>
  <si>
    <t>202401000</t>
  </si>
  <si>
    <t>Caisse AVS</t>
  </si>
  <si>
    <t>01/12</t>
  </si>
  <si>
    <t>23120010100206</t>
  </si>
  <si>
    <t>Salt</t>
  </si>
  <si>
    <t>Téléphone</t>
  </si>
  <si>
    <t>12/23</t>
  </si>
  <si>
    <t>507910676</t>
  </si>
  <si>
    <t>La Poste</t>
  </si>
  <si>
    <t>Intern</t>
  </si>
  <si>
    <t>Webstamps 12/23</t>
  </si>
  <si>
    <t>2024002641</t>
  </si>
  <si>
    <t>Fiducial Winbiz</t>
  </si>
  <si>
    <t>00046</t>
  </si>
  <si>
    <t>MLS Communications RMES</t>
  </si>
  <si>
    <t>10996036</t>
  </si>
  <si>
    <t>Coop Mineraloel</t>
  </si>
  <si>
    <t>1626988</t>
  </si>
  <si>
    <t>3603</t>
  </si>
  <si>
    <t>24400029</t>
  </si>
  <si>
    <t>EasternGraphics</t>
  </si>
  <si>
    <t>Pcon 2x (bis 31.10/31.05.2024)</t>
  </si>
  <si>
    <t>1107561070350179</t>
  </si>
  <si>
    <t>Viseca</t>
  </si>
  <si>
    <t>Raiffeisen</t>
  </si>
  <si>
    <t>124110243</t>
  </si>
  <si>
    <t>Antares</t>
  </si>
  <si>
    <t>3593</t>
  </si>
  <si>
    <t>Service des automobiles</t>
  </si>
  <si>
    <t>1-24</t>
  </si>
  <si>
    <t>2-24</t>
  </si>
  <si>
    <t>3-24</t>
  </si>
  <si>
    <t>4-24</t>
  </si>
  <si>
    <t>Taxe 2024 Mercedes 316 CDI</t>
  </si>
  <si>
    <t>Taxe 2024 VW Crafter</t>
  </si>
  <si>
    <t>Taxe 2024 Mercedes GLS 350</t>
  </si>
  <si>
    <t>Taxe 2024 Humbauer</t>
  </si>
  <si>
    <t>100068</t>
  </si>
  <si>
    <t>Butticaz 11-12.01.24</t>
  </si>
  <si>
    <t>182400543</t>
  </si>
  <si>
    <t>Flokk</t>
  </si>
  <si>
    <t>3594</t>
  </si>
  <si>
    <t>100336</t>
  </si>
  <si>
    <t>Butticaz 17+19.01.24</t>
  </si>
  <si>
    <t>355194</t>
  </si>
  <si>
    <t>Interima</t>
  </si>
  <si>
    <t>Lopez 12/23</t>
  </si>
  <si>
    <t>remplace fa 350368 08.12..23</t>
  </si>
  <si>
    <t>16.089.563</t>
  </si>
  <si>
    <t>Zurich</t>
  </si>
  <si>
    <t>RC dcpte 2023</t>
  </si>
  <si>
    <t>101731</t>
  </si>
  <si>
    <t>Dpte 2023 &amp; frais résiliation</t>
  </si>
  <si>
    <t>Retraites Populaires</t>
  </si>
  <si>
    <t>2410023</t>
  </si>
  <si>
    <t>3604</t>
  </si>
  <si>
    <t>Erik Hartnagel</t>
  </si>
  <si>
    <t>34980802</t>
  </si>
  <si>
    <t xml:space="preserve">Brack </t>
  </si>
  <si>
    <t>3621</t>
  </si>
  <si>
    <t>Lyreco</t>
  </si>
  <si>
    <t>2802725076</t>
  </si>
  <si>
    <t>BU/FU</t>
  </si>
  <si>
    <t>Bureau / 3571</t>
  </si>
  <si>
    <t>2024014333</t>
  </si>
  <si>
    <t>02/24</t>
  </si>
  <si>
    <t>243001201</t>
  </si>
  <si>
    <t>JBC</t>
  </si>
  <si>
    <t>Bureau</t>
  </si>
  <si>
    <t>20073014677</t>
  </si>
  <si>
    <t>Gonser</t>
  </si>
  <si>
    <t>Mastercard</t>
  </si>
  <si>
    <t>3622</t>
  </si>
  <si>
    <t>6300046348</t>
  </si>
  <si>
    <t>DPD</t>
  </si>
  <si>
    <t>24010010057715</t>
  </si>
  <si>
    <t>100968855-0/3</t>
  </si>
  <si>
    <t>ECA</t>
  </si>
  <si>
    <t>11019631</t>
  </si>
  <si>
    <t>102129</t>
  </si>
  <si>
    <t>De Stefano / Silva Rios 02.02.24</t>
  </si>
  <si>
    <t>005081</t>
  </si>
  <si>
    <t>000230</t>
  </si>
  <si>
    <t>Narbutas</t>
  </si>
  <si>
    <t>3589/3600/3599</t>
  </si>
  <si>
    <t>20240131</t>
  </si>
  <si>
    <t>Sandra Schmid</t>
  </si>
  <si>
    <t>411.45+281.95</t>
  </si>
  <si>
    <t>3574</t>
  </si>
  <si>
    <t>14854460</t>
  </si>
  <si>
    <t>Import Narbutas 07.02</t>
  </si>
  <si>
    <t>14853710</t>
  </si>
  <si>
    <t>Import Hartnagel 06.02</t>
  </si>
  <si>
    <t>20240104</t>
  </si>
  <si>
    <t>Frais visit Containex</t>
  </si>
  <si>
    <t>13020</t>
  </si>
  <si>
    <t>Sunrise</t>
  </si>
  <si>
    <t>1424226909</t>
  </si>
  <si>
    <t>4151405</t>
  </si>
  <si>
    <t>3643</t>
  </si>
  <si>
    <t>124111236</t>
  </si>
  <si>
    <t>3624</t>
  </si>
  <si>
    <t>02/12</t>
  </si>
  <si>
    <t>20406749</t>
  </si>
  <si>
    <t>EOL</t>
  </si>
  <si>
    <t>3636</t>
  </si>
  <si>
    <t>005097</t>
  </si>
  <si>
    <t>3596</t>
  </si>
  <si>
    <t>459081501</t>
  </si>
  <si>
    <t>240032</t>
  </si>
  <si>
    <t>95051147</t>
  </si>
  <si>
    <t>Sedus</t>
  </si>
  <si>
    <t>3591</t>
  </si>
  <si>
    <t>RE-00683</t>
  </si>
  <si>
    <t>Superlife</t>
  </si>
  <si>
    <t>compensé avec 230753</t>
  </si>
  <si>
    <t>FACTURE</t>
  </si>
  <si>
    <t>lampe bureau</t>
  </si>
  <si>
    <t>182401342</t>
  </si>
  <si>
    <t>3625</t>
  </si>
  <si>
    <t>2143/510</t>
  </si>
  <si>
    <t>DiDio</t>
  </si>
  <si>
    <t>TVA Mercees GLS 629717</t>
  </si>
  <si>
    <t>35355890</t>
  </si>
  <si>
    <t>102780</t>
  </si>
  <si>
    <t>Bore / Butticaz 02-05.02</t>
  </si>
  <si>
    <t>103596</t>
  </si>
  <si>
    <t>Butticaz 13-14.02</t>
  </si>
  <si>
    <t>Retripa</t>
  </si>
  <si>
    <t>609571867</t>
  </si>
  <si>
    <t>Groupe Mutuel</t>
  </si>
  <si>
    <t>14862800</t>
  </si>
  <si>
    <t>Import Narbutas 22.02</t>
  </si>
  <si>
    <t>202401</t>
  </si>
  <si>
    <t>202402</t>
  </si>
  <si>
    <t>Merite Berisha</t>
  </si>
  <si>
    <t>2024100254</t>
  </si>
  <si>
    <t>Michael Page</t>
  </si>
  <si>
    <t>59h50 x 55.68</t>
  </si>
  <si>
    <t>Anaïs 01/24</t>
  </si>
  <si>
    <t>2024100219</t>
  </si>
  <si>
    <t>88h00 x 55.68</t>
  </si>
  <si>
    <t>Anaïs 02/24</t>
  </si>
  <si>
    <t>35093877</t>
  </si>
  <si>
    <t>3628</t>
  </si>
  <si>
    <t>3654</t>
  </si>
  <si>
    <t>1433226002</t>
  </si>
  <si>
    <t>03/24</t>
  </si>
  <si>
    <t>90313825</t>
  </si>
  <si>
    <t>Sitag AG</t>
  </si>
  <si>
    <t>3590</t>
  </si>
  <si>
    <t>3T2023</t>
  </si>
  <si>
    <t>AFC Berne TVA</t>
  </si>
  <si>
    <t>2024-02-28</t>
  </si>
  <si>
    <t>Fust</t>
  </si>
  <si>
    <t>230784</t>
  </si>
  <si>
    <t>230680</t>
  </si>
  <si>
    <t>2024-02-27</t>
  </si>
  <si>
    <t>Pastilles de nettoyage</t>
  </si>
  <si>
    <t>005155</t>
  </si>
  <si>
    <t>3601/3598/3606/3608/3614/3618/3619/3631/3632/FT1069/AUSTEA</t>
  </si>
  <si>
    <t>04/24</t>
  </si>
  <si>
    <t>Flexsis</t>
  </si>
  <si>
    <t>104840</t>
  </si>
  <si>
    <t>104169</t>
  </si>
  <si>
    <t>De Stefano 28.02</t>
  </si>
  <si>
    <t>Borges / Mwanimi / Silva 19-25.02</t>
  </si>
  <si>
    <t>2105036441</t>
  </si>
  <si>
    <t>Webstamps 01/24</t>
  </si>
  <si>
    <t>243002930</t>
  </si>
  <si>
    <t>5319951</t>
  </si>
  <si>
    <t>Swisscaution</t>
  </si>
  <si>
    <t>2024</t>
  </si>
  <si>
    <t>2024023375</t>
  </si>
  <si>
    <t>264</t>
  </si>
  <si>
    <t>Prodega</t>
  </si>
  <si>
    <t>108</t>
  </si>
  <si>
    <t>11</t>
  </si>
  <si>
    <t>163</t>
  </si>
  <si>
    <t>31</t>
  </si>
  <si>
    <t>3623</t>
  </si>
  <si>
    <t>6651299075</t>
  </si>
  <si>
    <t>OFDF</t>
  </si>
  <si>
    <t>6651284793</t>
  </si>
  <si>
    <t>6651231445</t>
  </si>
  <si>
    <t>01</t>
  </si>
  <si>
    <t>Promerka Holding</t>
  </si>
  <si>
    <t>Holding</t>
  </si>
  <si>
    <t>CH00009742</t>
  </si>
  <si>
    <t>JS Schweiz GmbH</t>
  </si>
  <si>
    <t>Publicité Avesco</t>
  </si>
  <si>
    <t>1440835298</t>
  </si>
  <si>
    <t>4149773</t>
  </si>
  <si>
    <t>3616</t>
  </si>
  <si>
    <t>4152687</t>
  </si>
  <si>
    <t>3660</t>
  </si>
  <si>
    <t>OZH2024-008</t>
  </si>
  <si>
    <t>OZH2024-007</t>
  </si>
  <si>
    <t>OZH2024-001</t>
  </si>
  <si>
    <t>OZH2024-004</t>
  </si>
  <si>
    <t>3609/3642/3646</t>
  </si>
  <si>
    <t>3612</t>
  </si>
  <si>
    <t>478569</t>
  </si>
  <si>
    <t>Max Urech AG</t>
  </si>
  <si>
    <t>3650</t>
  </si>
  <si>
    <t>FA230205</t>
  </si>
  <si>
    <t>Gabriel Robez</t>
  </si>
  <si>
    <t>3588</t>
  </si>
  <si>
    <t>005181</t>
  </si>
  <si>
    <t>3610/3613</t>
  </si>
  <si>
    <t>F2402048483</t>
  </si>
  <si>
    <t xml:space="preserve">Jeantet </t>
  </si>
  <si>
    <t>Mobika 3607</t>
  </si>
  <si>
    <t>005175</t>
  </si>
  <si>
    <t>14868406</t>
  </si>
  <si>
    <t>Import Narbutas 04.03</t>
  </si>
  <si>
    <t>005104</t>
  </si>
  <si>
    <t>20240229</t>
  </si>
  <si>
    <t>2401687</t>
  </si>
  <si>
    <t>Mobika</t>
  </si>
  <si>
    <t>3607</t>
  </si>
  <si>
    <t>9034161142</t>
  </si>
  <si>
    <t>Hornbach</t>
  </si>
  <si>
    <t>3668</t>
  </si>
  <si>
    <t>22400977</t>
  </si>
  <si>
    <t>Intervention 17.01.24</t>
  </si>
  <si>
    <t>Dcpte 2 LAA 2023</t>
  </si>
  <si>
    <t>Dcpte 2 LAAC 2023</t>
  </si>
  <si>
    <t>masse 458'307.30</t>
  </si>
  <si>
    <t>Dcpte 2023</t>
  </si>
  <si>
    <t>613187548</t>
  </si>
  <si>
    <t>14859515</t>
  </si>
  <si>
    <t>Import Mades 16.02</t>
  </si>
  <si>
    <t>Créancier/Fournisseur</t>
  </si>
  <si>
    <t>14874388</t>
  </si>
  <si>
    <t>14874387</t>
  </si>
  <si>
    <t>Import Mades 14.03 1/2</t>
  </si>
  <si>
    <t>Import Mades 14.03 2/2</t>
  </si>
  <si>
    <t>14872048</t>
  </si>
  <si>
    <t>Import Narbutas 11.03</t>
  </si>
  <si>
    <t>03/12</t>
  </si>
  <si>
    <t>000245</t>
  </si>
  <si>
    <t>35621983</t>
  </si>
  <si>
    <t>3673</t>
  </si>
  <si>
    <t>2400</t>
  </si>
  <si>
    <t>Promerka Real Estate SA</t>
  </si>
  <si>
    <t>2401</t>
  </si>
  <si>
    <t>2402</t>
  </si>
  <si>
    <t>Loyer 01/24</t>
  </si>
  <si>
    <t>Loyer 02/24</t>
  </si>
  <si>
    <t>Loyer 03/24</t>
  </si>
  <si>
    <t>3626</t>
  </si>
  <si>
    <t>MDS2024-041 (1/2)</t>
  </si>
  <si>
    <t>MDS2024-041 (2/2)</t>
  </si>
  <si>
    <t>459444201</t>
  </si>
  <si>
    <t>Sieber internat. transport</t>
  </si>
  <si>
    <t>240195</t>
  </si>
  <si>
    <t>459329101</t>
  </si>
  <si>
    <t>240159/240167/240150/240172</t>
  </si>
  <si>
    <t>459329001</t>
  </si>
  <si>
    <t>Livraison</t>
  </si>
  <si>
    <t>240085/240063/240721</t>
  </si>
  <si>
    <t>613168662</t>
  </si>
  <si>
    <t>Compensé avec 61368662</t>
  </si>
  <si>
    <t>10008966739</t>
  </si>
  <si>
    <t>Romande Energie</t>
  </si>
  <si>
    <t xml:space="preserve">12/23-02/24 11+12 </t>
  </si>
  <si>
    <t>10008969490</t>
  </si>
  <si>
    <t>12/23-02/24 3+15</t>
  </si>
  <si>
    <t>2020099775</t>
  </si>
  <si>
    <t>846059917</t>
  </si>
  <si>
    <t>OFCOM</t>
  </si>
  <si>
    <t>Emolument 2024</t>
  </si>
  <si>
    <t>Webstamps 02/24</t>
  </si>
  <si>
    <t>6651379069</t>
  </si>
  <si>
    <t>6651392567</t>
  </si>
  <si>
    <t>6651408145</t>
  </si>
  <si>
    <t>6651441406</t>
  </si>
  <si>
    <t>6651453951</t>
  </si>
  <si>
    <t>6651465139</t>
  </si>
  <si>
    <t>6651499844</t>
  </si>
  <si>
    <t>6651531619</t>
  </si>
  <si>
    <t>Import Antares 18.01</t>
  </si>
  <si>
    <t>Import Mades 15.01</t>
  </si>
  <si>
    <t>Import Vestar 27.12.2023</t>
  </si>
  <si>
    <t>Import Gabriel Robez 09.02</t>
  </si>
  <si>
    <t>Import Antares 22.02 / Narbutas 22.02</t>
  </si>
  <si>
    <t>Import Mobika 26.02 / EOL 26.02</t>
  </si>
  <si>
    <t>6651547235</t>
  </si>
  <si>
    <t>Import Mades 2 x 14.03</t>
  </si>
  <si>
    <t>107145</t>
  </si>
  <si>
    <t>Butticaz / Sacko /Borges 13-15.03</t>
  </si>
  <si>
    <t>105447</t>
  </si>
  <si>
    <t>Borges 26.02-01.03</t>
  </si>
  <si>
    <t>106453</t>
  </si>
  <si>
    <t>Zouaoui 08.03</t>
  </si>
  <si>
    <t>2400030</t>
  </si>
  <si>
    <t xml:space="preserve">SAV </t>
  </si>
  <si>
    <t>Real Estate</t>
  </si>
  <si>
    <t>2407</t>
  </si>
  <si>
    <t>2408</t>
  </si>
  <si>
    <t>2409</t>
  </si>
  <si>
    <t>Loyer 04/24</t>
  </si>
  <si>
    <t>Loyer 05/24</t>
  </si>
  <si>
    <t>Loyer 06/24</t>
  </si>
  <si>
    <t>005243</t>
  </si>
  <si>
    <t>3641/3648/3651</t>
  </si>
  <si>
    <t>000271</t>
  </si>
  <si>
    <t>4154109</t>
  </si>
  <si>
    <t>3679</t>
  </si>
  <si>
    <t>96</t>
  </si>
  <si>
    <t>BCV</t>
  </si>
  <si>
    <t>24067</t>
  </si>
  <si>
    <t>Rubixcomm</t>
  </si>
  <si>
    <t>Sticker logo 1000x</t>
  </si>
  <si>
    <t>3615</t>
  </si>
  <si>
    <t>465392</t>
  </si>
  <si>
    <t>FLS Furness</t>
  </si>
  <si>
    <t>Import Hoyez 22.03</t>
  </si>
  <si>
    <t>14880827</t>
  </si>
  <si>
    <t>Import Mades 27.03</t>
  </si>
  <si>
    <t>2024-03-25</t>
  </si>
  <si>
    <t>1T2024+ (1'486.55-988.20)</t>
  </si>
  <si>
    <t>2T2024</t>
  </si>
  <si>
    <t>3641/3648/3651/3676-240275</t>
  </si>
  <si>
    <t>3620</t>
  </si>
  <si>
    <t>Mades (Mades iC)</t>
  </si>
  <si>
    <t>20240403</t>
  </si>
  <si>
    <t>MMI Conseil &amp; Trading Sàrl</t>
  </si>
  <si>
    <t>Marcel 02-03/2024</t>
  </si>
  <si>
    <t>82.75 x 52.00</t>
  </si>
  <si>
    <t>6300055640</t>
  </si>
  <si>
    <t>14882957</t>
  </si>
  <si>
    <t>Import Mades 02.04</t>
  </si>
  <si>
    <t>001043-24</t>
  </si>
  <si>
    <t>Tipack group sa</t>
  </si>
  <si>
    <t>3667</t>
  </si>
  <si>
    <t>2802833862</t>
  </si>
  <si>
    <t>Bureau / 3674</t>
  </si>
  <si>
    <t>182402016</t>
  </si>
  <si>
    <t>3665</t>
  </si>
  <si>
    <t>85h00 x 55.68</t>
  </si>
  <si>
    <t>Anaïs 03/24</t>
  </si>
  <si>
    <t>2024032260</t>
  </si>
  <si>
    <t>243004684</t>
  </si>
  <si>
    <t>1160/1084</t>
  </si>
  <si>
    <t>Equipement Pro</t>
  </si>
  <si>
    <t>Commission</t>
  </si>
  <si>
    <t>240307</t>
  </si>
  <si>
    <t>459650001</t>
  </si>
  <si>
    <t>240228/240246/240262/240269/240253/240262/240233</t>
  </si>
  <si>
    <t>20240331</t>
  </si>
  <si>
    <t>2023001864</t>
  </si>
  <si>
    <t xml:space="preserve">rachat après </t>
  </si>
  <si>
    <t>Office d'impôt Vaud</t>
  </si>
  <si>
    <t>616.04</t>
  </si>
  <si>
    <t>Bénéfice 63'800 / Capital 248'000</t>
  </si>
  <si>
    <t>Acpte 1/2024</t>
  </si>
  <si>
    <t>Acpte 2/2024</t>
  </si>
  <si>
    <t>Acpte 3/2024</t>
  </si>
  <si>
    <t>202404-001</t>
  </si>
  <si>
    <t>Pappy John</t>
  </si>
  <si>
    <t>02</t>
  </si>
  <si>
    <t>459733701</t>
  </si>
  <si>
    <t>240280/240293</t>
  </si>
  <si>
    <t>Vestar</t>
  </si>
  <si>
    <t>DHL Express</t>
  </si>
  <si>
    <t>The Neon</t>
  </si>
  <si>
    <t>005257</t>
  </si>
  <si>
    <t>000275</t>
  </si>
  <si>
    <t>3637/3659/3662/3663</t>
  </si>
  <si>
    <t>102403211</t>
  </si>
  <si>
    <t>Import Narbutas 04.04</t>
  </si>
  <si>
    <t>2802781885</t>
  </si>
  <si>
    <t>3639/3655/3627</t>
  </si>
  <si>
    <t>V-PMK-08 (1/2)</t>
  </si>
  <si>
    <t>V-PMK-08 (2/2)</t>
  </si>
  <si>
    <t>3658</t>
  </si>
  <si>
    <t>USD 13'821.50</t>
  </si>
  <si>
    <t>3652</t>
  </si>
  <si>
    <t>05/24</t>
  </si>
  <si>
    <t>7282</t>
  </si>
  <si>
    <t>AVIA</t>
  </si>
  <si>
    <t>Carburants Marcel</t>
  </si>
  <si>
    <t>2041</t>
  </si>
  <si>
    <t>Denner</t>
  </si>
  <si>
    <t>Rmbt Marcel</t>
  </si>
  <si>
    <t>2024030214</t>
  </si>
  <si>
    <t>106754</t>
  </si>
  <si>
    <t>Borges 04-08.03</t>
  </si>
  <si>
    <t>11043968</t>
  </si>
  <si>
    <t>11068940</t>
  </si>
  <si>
    <t>14886153</t>
  </si>
  <si>
    <t>Import Narbutas 08.04</t>
  </si>
  <si>
    <t>1448670998</t>
  </si>
  <si>
    <t>Webstamps 03/24</t>
  </si>
  <si>
    <t>107736</t>
  </si>
  <si>
    <t>Bah / Borges / Sacko / Thioubou / Zouaoui</t>
  </si>
  <si>
    <t>346872</t>
  </si>
  <si>
    <t>346871</t>
  </si>
  <si>
    <t>346873</t>
  </si>
  <si>
    <t>Hörler</t>
  </si>
  <si>
    <t>Roth</t>
  </si>
  <si>
    <t>Putrino</t>
  </si>
  <si>
    <t>20240365</t>
  </si>
  <si>
    <t>Uniquement Votre</t>
  </si>
  <si>
    <t>3559</t>
  </si>
  <si>
    <t>Acpte IFD 2024</t>
  </si>
  <si>
    <t>Bénéfice 63'800</t>
  </si>
  <si>
    <t>2020100626</t>
  </si>
  <si>
    <t>14887618</t>
  </si>
  <si>
    <t>Import Mades 10.04</t>
  </si>
  <si>
    <t>NTG Gondrand</t>
  </si>
  <si>
    <t>NC à demander € 39.20</t>
  </si>
  <si>
    <t>375510</t>
  </si>
  <si>
    <t>Bass</t>
  </si>
  <si>
    <t>Mission Bâle 38.50</t>
  </si>
  <si>
    <t>65414</t>
  </si>
  <si>
    <t>Planzer</t>
  </si>
  <si>
    <t>240044</t>
  </si>
  <si>
    <t>300010256</t>
  </si>
  <si>
    <t>Myo Hoyez</t>
  </si>
  <si>
    <t>110410</t>
  </si>
  <si>
    <t>Bah/Butticaz/Zoungrane</t>
  </si>
  <si>
    <t>22401461</t>
  </si>
  <si>
    <t>182402287</t>
  </si>
  <si>
    <t>3664</t>
  </si>
  <si>
    <t>14888862</t>
  </si>
  <si>
    <t>Import Nowy Styl 12.04</t>
  </si>
  <si>
    <t>005272</t>
  </si>
  <si>
    <t>3675/3678/3680</t>
  </si>
  <si>
    <t>000282</t>
  </si>
  <si>
    <t>3640</t>
  </si>
  <si>
    <t>20240413</t>
  </si>
  <si>
    <t>6651591328</t>
  </si>
  <si>
    <t>Import Hoyez 22.03 / Mades 27.03 / Mades 02.04</t>
  </si>
  <si>
    <t>202404000</t>
  </si>
  <si>
    <t>202403000</t>
  </si>
  <si>
    <t>202402000</t>
  </si>
  <si>
    <t>04/12</t>
  </si>
  <si>
    <t>2403446</t>
  </si>
  <si>
    <t>3689</t>
  </si>
  <si>
    <t>20073046260</t>
  </si>
  <si>
    <t>3645</t>
  </si>
  <si>
    <t>14889792</t>
  </si>
  <si>
    <t>Import Mades 15.04</t>
  </si>
  <si>
    <t>95051676</t>
  </si>
  <si>
    <t>3670</t>
  </si>
  <si>
    <t>YEM6378453</t>
  </si>
  <si>
    <t>remplace YEL6363279 du 04.04.2024 CHF 64.72</t>
  </si>
  <si>
    <t>2020098845</t>
  </si>
  <si>
    <t>2024/2140</t>
  </si>
  <si>
    <t>The Neon Company</t>
  </si>
  <si>
    <t>3669</t>
  </si>
  <si>
    <t>6651624989</t>
  </si>
  <si>
    <t>6651643854</t>
  </si>
  <si>
    <t>6651650480</t>
  </si>
  <si>
    <t>Import Nowy Styl 12.04 / Mades 15.04 / Narbutas 16.04 / Mobika 16.04</t>
  </si>
  <si>
    <t>2410151</t>
  </si>
  <si>
    <t>3684</t>
  </si>
  <si>
    <t>110756</t>
  </si>
  <si>
    <t>Dienguila</t>
  </si>
  <si>
    <t>14894072</t>
  </si>
  <si>
    <t>Import Narbutas 16.04</t>
  </si>
  <si>
    <t>1696957</t>
  </si>
  <si>
    <t>Presto Café</t>
  </si>
  <si>
    <t>3703</t>
  </si>
  <si>
    <t>Normann Copenhagen</t>
  </si>
  <si>
    <t>NULLRECHNUNG</t>
  </si>
  <si>
    <t>22401291</t>
  </si>
  <si>
    <t>Intervention 01.02</t>
  </si>
  <si>
    <t>CD422959 (1/2)</t>
  </si>
  <si>
    <t>CD422959 (2/2)</t>
  </si>
  <si>
    <t>2024-04-11</t>
  </si>
  <si>
    <t>Rep. machine à café bureau</t>
  </si>
  <si>
    <t>22401940</t>
  </si>
  <si>
    <t>Intervention 28.03 Anaïs</t>
  </si>
  <si>
    <t>111219</t>
  </si>
  <si>
    <t>08-28.04</t>
  </si>
  <si>
    <t>6651688402</t>
  </si>
  <si>
    <t>478581</t>
  </si>
  <si>
    <t>20240501</t>
  </si>
  <si>
    <t>20240502</t>
  </si>
  <si>
    <t>100.75x52.00 +16</t>
  </si>
  <si>
    <t>Marcel 04/2024</t>
  </si>
  <si>
    <t>121.25x40 + 70</t>
  </si>
  <si>
    <t>Paul 09-30.04</t>
  </si>
  <si>
    <t>243006370</t>
  </si>
  <si>
    <t>000292</t>
  </si>
  <si>
    <t>3685/3690</t>
  </si>
  <si>
    <t>000307</t>
  </si>
  <si>
    <t>3651</t>
  </si>
  <si>
    <t>000308</t>
  </si>
  <si>
    <t>3685/3690+3651</t>
  </si>
  <si>
    <t>2024041159</t>
  </si>
  <si>
    <t>OZH2024-009</t>
  </si>
  <si>
    <t>OZH2024-010</t>
  </si>
  <si>
    <t>OZH2024-011</t>
  </si>
  <si>
    <t>OZH2024-012</t>
  </si>
  <si>
    <t>3657/3695/3707</t>
  </si>
  <si>
    <t>2802893715</t>
  </si>
  <si>
    <t>Bureau/3691</t>
  </si>
  <si>
    <t>36235565</t>
  </si>
  <si>
    <t>3711</t>
  </si>
  <si>
    <t>20240400212</t>
  </si>
  <si>
    <t>Anaïs 03/24+</t>
  </si>
  <si>
    <t>38h25x 55.68</t>
  </si>
  <si>
    <t>11093529</t>
  </si>
  <si>
    <t>112426</t>
  </si>
  <si>
    <t>14900545</t>
  </si>
  <si>
    <t>Import Narbutas 06.05</t>
  </si>
  <si>
    <t>25.03-29.04</t>
  </si>
  <si>
    <t>113657</t>
  </si>
  <si>
    <t>Chauffeur CHF 46.55</t>
  </si>
  <si>
    <t>Crespin 30.04</t>
  </si>
  <si>
    <t>65849</t>
  </si>
  <si>
    <t>Factures à payer 2024</t>
  </si>
  <si>
    <t>240302/240320/240363/240322/240391</t>
  </si>
  <si>
    <t>1458073544</t>
  </si>
  <si>
    <t>14901302</t>
  </si>
  <si>
    <t>Import Mades 07.05</t>
  </si>
  <si>
    <t>36299723</t>
  </si>
  <si>
    <t>3718</t>
  </si>
  <si>
    <t>06/24</t>
  </si>
  <si>
    <t>W3720887</t>
  </si>
  <si>
    <t>3704</t>
  </si>
  <si>
    <t>202405000</t>
  </si>
  <si>
    <t>05/12</t>
  </si>
  <si>
    <t>460108701</t>
  </si>
  <si>
    <t>00749358/240300/240230/240382/240416/240390</t>
  </si>
  <si>
    <t>OZH2024-013</t>
  </si>
  <si>
    <t>3661/3708</t>
  </si>
  <si>
    <t>4158212</t>
  </si>
  <si>
    <t>3677</t>
  </si>
  <si>
    <t>2020101408</t>
  </si>
  <si>
    <t>2105098799</t>
  </si>
  <si>
    <t>Webstamps 04/24</t>
  </si>
  <si>
    <t>correction recu le 13.05.202</t>
  </si>
  <si>
    <t>3681</t>
  </si>
  <si>
    <t>182402137</t>
  </si>
  <si>
    <t>3666</t>
  </si>
  <si>
    <t>124112809</t>
  </si>
  <si>
    <t>3682</t>
  </si>
  <si>
    <t>1695581</t>
  </si>
  <si>
    <t>3694</t>
  </si>
  <si>
    <t>Date de 
la facture</t>
  </si>
  <si>
    <t>24-04</t>
  </si>
  <si>
    <t>Stefan Buerli</t>
  </si>
  <si>
    <t>3692</t>
  </si>
  <si>
    <t>03</t>
  </si>
  <si>
    <t>00214</t>
  </si>
  <si>
    <t>00381</t>
  </si>
  <si>
    <t>00555</t>
  </si>
  <si>
    <t>00718</t>
  </si>
  <si>
    <t>4407</t>
  </si>
  <si>
    <t>Landi</t>
  </si>
  <si>
    <t>3726</t>
  </si>
  <si>
    <t>182403054</t>
  </si>
  <si>
    <t>3693</t>
  </si>
  <si>
    <t>115399</t>
  </si>
  <si>
    <t>29.04-19.05</t>
  </si>
  <si>
    <t>114854</t>
  </si>
  <si>
    <t>06-16.05</t>
  </si>
  <si>
    <t>14906527</t>
  </si>
  <si>
    <t>Import Mades 17.05</t>
  </si>
  <si>
    <t>OZH2024-014</t>
  </si>
  <si>
    <t>3683</t>
  </si>
  <si>
    <t>120369</t>
  </si>
  <si>
    <t>NC 120369 CHF 582.40 deduit</t>
  </si>
  <si>
    <t>Deduit sur FA 65849</t>
  </si>
  <si>
    <t>TVA</t>
  </si>
  <si>
    <t>Import Antares 23.05</t>
  </si>
  <si>
    <t>6651702989</t>
  </si>
  <si>
    <t>6651748543</t>
  </si>
  <si>
    <t>Import E Hartnagel 25.04</t>
  </si>
  <si>
    <t>Import Narbutas 06.05 / Mades 07.05</t>
  </si>
  <si>
    <t>2404451</t>
  </si>
  <si>
    <t>2404450</t>
  </si>
  <si>
    <t>2404449</t>
  </si>
  <si>
    <t>3719</t>
  </si>
  <si>
    <t>3714</t>
  </si>
  <si>
    <t>3688</t>
  </si>
  <si>
    <t>Écheance</t>
  </si>
  <si>
    <t>Montant total 
une fois divisé</t>
  </si>
  <si>
    <t>Taux 
de change</t>
  </si>
  <si>
    <t>Promerka SA</t>
  </si>
  <si>
    <t>Commentaire
affectation</t>
  </si>
  <si>
    <t>N° du document</t>
  </si>
  <si>
    <t>Date de 
la réception</t>
  </si>
  <si>
    <t>TVA %
incluse</t>
  </si>
  <si>
    <t>Méthode du paiement</t>
  </si>
  <si>
    <t>Paiements prevus</t>
  </si>
  <si>
    <t>factures échues</t>
  </si>
  <si>
    <t>factures ouvertes</t>
  </si>
  <si>
    <t>Montant à payer :</t>
  </si>
  <si>
    <t>Montant
CHF</t>
  </si>
  <si>
    <t>Date du paiement</t>
  </si>
  <si>
    <t>Affectation</t>
  </si>
  <si>
    <t>Facture locaux</t>
  </si>
  <si>
    <t>jours jusqu'à l'écheance</t>
  </si>
  <si>
    <t>oui</t>
  </si>
  <si>
    <t>04</t>
  </si>
  <si>
    <t>4T2023</t>
  </si>
  <si>
    <t>22402298</t>
  </si>
  <si>
    <t>Intervention 16.04 Sandra</t>
  </si>
  <si>
    <t>6651781882</t>
  </si>
  <si>
    <t>11588/3767</t>
  </si>
  <si>
    <t>Tecram Sàrl</t>
  </si>
  <si>
    <t>1172/1084</t>
  </si>
  <si>
    <t>3732</t>
  </si>
  <si>
    <t>20240430</t>
  </si>
  <si>
    <t>F2404048958</t>
  </si>
  <si>
    <t>Mobika 3688/3714/3719</t>
  </si>
  <si>
    <t>90317599</t>
  </si>
  <si>
    <t>3671</t>
  </si>
  <si>
    <t>14910600</t>
  </si>
  <si>
    <t>Import Mades 27.05</t>
  </si>
  <si>
    <t>100</t>
  </si>
  <si>
    <t>3733</t>
  </si>
  <si>
    <t>3734</t>
  </si>
  <si>
    <t>Paiements prévus justqu'au :</t>
  </si>
  <si>
    <t>Montant prévu à payer :</t>
  </si>
  <si>
    <t>Factures à payer</t>
  </si>
  <si>
    <t>Factures à encaisser</t>
  </si>
  <si>
    <t>Paiement
prévu</t>
  </si>
  <si>
    <t>24170</t>
  </si>
  <si>
    <t>Andréfleurs (Landi)</t>
  </si>
  <si>
    <t>3735</t>
  </si>
  <si>
    <t>412734882</t>
  </si>
  <si>
    <t>AMAG</t>
  </si>
  <si>
    <t>VW Crafter rép. Et service</t>
  </si>
  <si>
    <t>202400823</t>
  </si>
  <si>
    <t>Work with island</t>
  </si>
  <si>
    <t>3739</t>
  </si>
  <si>
    <t>115897</t>
  </si>
  <si>
    <t>20.05-02.06</t>
  </si>
  <si>
    <t>6651798191</t>
  </si>
  <si>
    <t>243008008</t>
  </si>
  <si>
    <t>000338</t>
  </si>
  <si>
    <t>005393</t>
  </si>
  <si>
    <t>3696/3697/FT1065/3713/3716/3709</t>
  </si>
  <si>
    <t>Commentaire facture</t>
  </si>
  <si>
    <t>50% acpte</t>
  </si>
  <si>
    <t>Import Mobika 23.05</t>
  </si>
  <si>
    <t>FA230317</t>
  </si>
  <si>
    <t>3701</t>
  </si>
  <si>
    <t>005397</t>
  </si>
  <si>
    <t>3637</t>
  </si>
  <si>
    <t>14914388</t>
  </si>
  <si>
    <t>Import Narbutas 03.06</t>
  </si>
  <si>
    <t>00884</t>
  </si>
  <si>
    <t>M000065611</t>
  </si>
  <si>
    <t>Manutan GmbH</t>
  </si>
  <si>
    <t>3721</t>
  </si>
  <si>
    <t>6651812822</t>
  </si>
  <si>
    <t>2802961322</t>
  </si>
  <si>
    <t>3710</t>
  </si>
  <si>
    <t>2024049985</t>
  </si>
  <si>
    <t>11107556</t>
  </si>
  <si>
    <t>27.05-02.06</t>
  </si>
  <si>
    <t>Total</t>
  </si>
  <si>
    <t>20240531</t>
  </si>
  <si>
    <t>Marcel et Paul 05/2024</t>
  </si>
  <si>
    <t>DBX1187877</t>
  </si>
  <si>
    <t>Narbutas FA000597</t>
  </si>
  <si>
    <t>P000446057</t>
  </si>
  <si>
    <t>Dextra</t>
  </si>
  <si>
    <t>Protection juridique 13.07/24-12.07/25</t>
  </si>
  <si>
    <t>000602</t>
  </si>
  <si>
    <t>3680/3637</t>
  </si>
  <si>
    <t>000601</t>
  </si>
  <si>
    <t>Abzug/Spesen
CHF</t>
  </si>
  <si>
    <t>66255</t>
  </si>
  <si>
    <t>240429/240391/xx/240464/240401/240494/240496</t>
  </si>
  <si>
    <t>4.75% de 16759.41 / 93 jours</t>
  </si>
  <si>
    <t>07/24</t>
  </si>
  <si>
    <t>08/24</t>
  </si>
  <si>
    <t>09/24</t>
  </si>
  <si>
    <t>10/24</t>
  </si>
  <si>
    <t>11/24</t>
  </si>
  <si>
    <t>12/24</t>
  </si>
  <si>
    <t>622866488</t>
  </si>
  <si>
    <t>Masse 81'000x4 / Compensé avec 613187548</t>
  </si>
  <si>
    <t>3T2024</t>
  </si>
  <si>
    <t>2105120011</t>
  </si>
  <si>
    <t>Webstamps 05/24</t>
  </si>
  <si>
    <t>Intérêts 4T2023</t>
  </si>
  <si>
    <t xml:space="preserve">    Loyer à payer:</t>
  </si>
  <si>
    <t xml:space="preserve">    Leasing à payer</t>
  </si>
  <si>
    <t xml:space="preserve">    TVA OFDF à payer: </t>
  </si>
  <si>
    <t xml:space="preserve">    Montant à payer CHF :</t>
  </si>
  <si>
    <t xml:space="preserve">    Montant à payer EUR :</t>
  </si>
  <si>
    <t>6651839116</t>
  </si>
  <si>
    <t>Import Narbutas 03.06 / Gabriel Robez 04.06</t>
  </si>
  <si>
    <t>Office consultant Fiduciaire SA</t>
  </si>
  <si>
    <t>9000401/1418</t>
  </si>
  <si>
    <t>Exercice 2023</t>
  </si>
  <si>
    <t>2020102227</t>
  </si>
  <si>
    <t>NC deduit</t>
  </si>
  <si>
    <t>27681</t>
  </si>
  <si>
    <t>3749</t>
  </si>
  <si>
    <t>2005</t>
  </si>
  <si>
    <t>2012.1</t>
  </si>
  <si>
    <t>2002</t>
  </si>
  <si>
    <t>2000</t>
  </si>
  <si>
    <t>2014</t>
  </si>
  <si>
    <t>1466166224</t>
  </si>
  <si>
    <t>OZH2024-017</t>
  </si>
  <si>
    <t>3698</t>
  </si>
  <si>
    <t>Commentaire</t>
  </si>
  <si>
    <t>211</t>
  </si>
  <si>
    <t>202406-001</t>
  </si>
  <si>
    <t>remplace FA117044</t>
  </si>
  <si>
    <t>119339</t>
  </si>
  <si>
    <t>16011-23</t>
  </si>
  <si>
    <t>Fino Diffusion</t>
  </si>
  <si>
    <t>3758</t>
  </si>
  <si>
    <t>4161919</t>
  </si>
  <si>
    <t>3754</t>
  </si>
  <si>
    <t>F0145</t>
  </si>
  <si>
    <t>Instadebug</t>
  </si>
  <si>
    <t>MAJ 5 Laptops</t>
  </si>
  <si>
    <t>1185/1084</t>
  </si>
  <si>
    <t>3748</t>
  </si>
  <si>
    <t>7909293</t>
  </si>
  <si>
    <t>Auto-Rives</t>
  </si>
  <si>
    <t>Chmgt pneus VD 629717</t>
  </si>
  <si>
    <t>05</t>
  </si>
  <si>
    <t>2413</t>
  </si>
  <si>
    <t>2414</t>
  </si>
  <si>
    <t>2415</t>
  </si>
  <si>
    <t>Loyer 07/24</t>
  </si>
  <si>
    <t>Loyer 08/24</t>
  </si>
  <si>
    <t>Loyer 09/24</t>
  </si>
  <si>
    <t>OZH2024-018</t>
  </si>
  <si>
    <t>3699/3729</t>
  </si>
  <si>
    <t>36805646</t>
  </si>
  <si>
    <t>3760</t>
  </si>
  <si>
    <t>en attente VC</t>
  </si>
  <si>
    <t>98</t>
  </si>
  <si>
    <t>3727</t>
  </si>
  <si>
    <t>3750</t>
  </si>
  <si>
    <t>95052124</t>
  </si>
  <si>
    <t xml:space="preserve">Sedus </t>
  </si>
  <si>
    <t>3737</t>
  </si>
  <si>
    <t>6651852317</t>
  </si>
  <si>
    <t>Import Bauknecht 05.06/Antares 05.06</t>
  </si>
  <si>
    <t>OZH2024-021</t>
  </si>
  <si>
    <t>3712</t>
  </si>
  <si>
    <t>97</t>
  </si>
  <si>
    <t>SO0107157</t>
  </si>
  <si>
    <t>Batiplus SA</t>
  </si>
  <si>
    <t>3756</t>
  </si>
  <si>
    <t>202406000</t>
  </si>
  <si>
    <t>06/12</t>
  </si>
  <si>
    <t>2015</t>
  </si>
  <si>
    <t>14921630</t>
  </si>
  <si>
    <t>1064</t>
  </si>
  <si>
    <t>factures échues
au date B10</t>
  </si>
  <si>
    <t>Montant à payer au :</t>
  </si>
  <si>
    <t>Montant total à payer :</t>
  </si>
  <si>
    <t xml:space="preserve">    Factures:</t>
  </si>
  <si>
    <t>Etat factures reçues au :</t>
  </si>
  <si>
    <t>Montant prevu à payer CH</t>
  </si>
  <si>
    <t>95052156</t>
  </si>
  <si>
    <t>2010</t>
  </si>
  <si>
    <t>V-PMK-09 (2/2)</t>
  </si>
  <si>
    <t>V-PMK-09 (1/2)</t>
  </si>
  <si>
    <t>USD 22'538.00</t>
  </si>
  <si>
    <t>3765</t>
  </si>
  <si>
    <t xml:space="preserve">    Montant à payer USD:</t>
  </si>
  <si>
    <t>Montant
EUR</t>
  </si>
  <si>
    <t>Montant
USD</t>
  </si>
  <si>
    <t>Bauknecht</t>
  </si>
  <si>
    <t>4190270537</t>
  </si>
  <si>
    <t>3687</t>
  </si>
  <si>
    <t>119497</t>
  </si>
  <si>
    <t>03-09.06</t>
  </si>
  <si>
    <t>202403</t>
  </si>
  <si>
    <t>202404</t>
  </si>
  <si>
    <t>202405</t>
  </si>
  <si>
    <t>202406</t>
  </si>
  <si>
    <t>acompte 30%</t>
  </si>
  <si>
    <t>124114051</t>
  </si>
  <si>
    <t>3752</t>
  </si>
  <si>
    <t>20240620</t>
  </si>
  <si>
    <t>4163046</t>
  </si>
  <si>
    <t>3770</t>
  </si>
  <si>
    <t>AR2411126</t>
  </si>
  <si>
    <t>Ceha Deutschland GmbH</t>
  </si>
  <si>
    <t>3769</t>
  </si>
  <si>
    <t>11576994</t>
  </si>
  <si>
    <t>Yoursurprise</t>
  </si>
  <si>
    <t>20 x Toblerone</t>
  </si>
  <si>
    <t>9035702741</t>
  </si>
  <si>
    <t>3767</t>
  </si>
  <si>
    <t>en attente note de crédit TVA</t>
  </si>
  <si>
    <t>3755</t>
  </si>
  <si>
    <t>Factures à encaisser 2024</t>
  </si>
  <si>
    <t>Etat au :</t>
  </si>
  <si>
    <t xml:space="preserve">   Factures à encaisser 2020/2019</t>
  </si>
  <si>
    <t xml:space="preserve">   Factures à encaisser 2022</t>
  </si>
  <si>
    <t xml:space="preserve">   Factures à encaisser 2023</t>
  </si>
  <si>
    <t>Factures à encaisser 2019-23</t>
  </si>
  <si>
    <t>Factures à encaisser :</t>
  </si>
  <si>
    <t>TOTAL</t>
  </si>
  <si>
    <t>N° facture</t>
  </si>
  <si>
    <t>Conditions
pmt+</t>
  </si>
  <si>
    <t>Client</t>
  </si>
  <si>
    <t>Date
de la facture</t>
  </si>
  <si>
    <t>Montant
de la facture
CHF</t>
  </si>
  <si>
    <t>Solde 
ouverte
fm</t>
  </si>
  <si>
    <t>Commentaire
intern</t>
  </si>
  <si>
    <t>Date d'envoi</t>
  </si>
  <si>
    <t>Méthode 
du paiement</t>
  </si>
  <si>
    <t>Rappels</t>
  </si>
  <si>
    <t>Jours</t>
  </si>
  <si>
    <t>0 - 30 jours</t>
  </si>
  <si>
    <t>30 - 60 jours</t>
  </si>
  <si>
    <t>&gt; 60 jours</t>
  </si>
  <si>
    <t>Commentaire 
encaissement</t>
  </si>
  <si>
    <t>Solde 
ouverte
CHF</t>
  </si>
  <si>
    <t>Solde échu
CHF</t>
  </si>
  <si>
    <t>60</t>
  </si>
  <si>
    <t>Scrasa SA</t>
  </si>
  <si>
    <t>60 jours / pmt S23 Mme Cabassud appel le 23.05 / 11.06 en attente chez la direction</t>
  </si>
  <si>
    <t>30</t>
  </si>
  <si>
    <t>albin borer ag</t>
  </si>
  <si>
    <t>AMS Ameropa</t>
  </si>
  <si>
    <t>Avesco Rent SA</t>
  </si>
  <si>
    <t>Barbey SA</t>
  </si>
  <si>
    <t>Implenia Suisse AG</t>
  </si>
  <si>
    <t>Birchmeier Kies + Beton AG</t>
  </si>
  <si>
    <t>Halter SA</t>
  </si>
  <si>
    <t xml:space="preserve">renvoyé le 17.04 </t>
  </si>
  <si>
    <t>CAMANDONA SA</t>
  </si>
  <si>
    <t>0</t>
  </si>
  <si>
    <t>NIKA Solar</t>
  </si>
  <si>
    <t>HRS Real Estate</t>
  </si>
  <si>
    <t>Construction Perret</t>
  </si>
  <si>
    <t>HRS Real Estate Sion</t>
  </si>
  <si>
    <t>La Truffe SA</t>
  </si>
  <si>
    <t>Sersa Group</t>
  </si>
  <si>
    <t>Ed. Perillat SA</t>
  </si>
  <si>
    <t>tél M Mikael 30.04 pmt le 03.05.2024</t>
  </si>
  <si>
    <t>Jaquet SA</t>
  </si>
  <si>
    <t>Ferroflex AG</t>
  </si>
  <si>
    <t>Perego Real Estate</t>
  </si>
  <si>
    <t>AVANCE CHF 7130.60</t>
  </si>
  <si>
    <t>-</t>
  </si>
  <si>
    <t>NULL-Rechnung</t>
  </si>
  <si>
    <t>Riedo Mobilbau AG</t>
  </si>
  <si>
    <t>pmt sur cpte Promerka Design</t>
  </si>
  <si>
    <t>Orllati Management</t>
  </si>
  <si>
    <t>Consortium CJP PP5</t>
  </si>
  <si>
    <t>tél Mme Dufey 30.04 pmt le 03.05.2024</t>
  </si>
  <si>
    <t>Walo Bertschinger</t>
  </si>
  <si>
    <t>Dénériaz Lausanne</t>
  </si>
  <si>
    <t>EMS Château des Novalles</t>
  </si>
  <si>
    <t>Commune d'Aigle</t>
  </si>
  <si>
    <t>Consortium Vennes-Chexbrex Grisoni Zaugg SA</t>
  </si>
  <si>
    <t>JPF Ducret SA</t>
  </si>
  <si>
    <t>Consortium Greenpark</t>
  </si>
  <si>
    <t>Ambulance Clerc SA</t>
  </si>
  <si>
    <t>Zuttion Logistique SA</t>
  </si>
  <si>
    <t>Grisoni Zaugg SA</t>
  </si>
  <si>
    <t>Birchmeier BAU AG</t>
  </si>
  <si>
    <t>Frutiger Uetendorf</t>
  </si>
  <si>
    <t>Losinger Marazzi AG</t>
  </si>
  <si>
    <t>Gétaz-Miauton SA</t>
  </si>
  <si>
    <t>renvoyé le 18.03.2024 avec correction</t>
  </si>
  <si>
    <t>ARCANUS AG</t>
  </si>
  <si>
    <t>Attolight SA</t>
  </si>
  <si>
    <t>STRIPE</t>
  </si>
  <si>
    <t>AC Immune SA</t>
  </si>
  <si>
    <t>Orllati (GE) SA</t>
  </si>
  <si>
    <t>Loxam Genève</t>
  </si>
  <si>
    <t>CityNet Sàrl</t>
  </si>
  <si>
    <t>tél. 13.05. pmt d'ici 17.052024</t>
  </si>
  <si>
    <t>240801</t>
  </si>
  <si>
    <t>ADV Constructions SA</t>
  </si>
  <si>
    <t>renvoyé le 20.03.2024 / 240834</t>
  </si>
  <si>
    <t>JPF Construction SA</t>
  </si>
  <si>
    <t>renvoyé le 20.03.2024</t>
  </si>
  <si>
    <t>Orllati Logistique</t>
  </si>
  <si>
    <t>Maulini SA</t>
  </si>
  <si>
    <t>pmt à 60 jours ok selon GG</t>
  </si>
  <si>
    <t>EVAM</t>
  </si>
  <si>
    <t>pmt le 10 du mois, dernier livraison 21.03</t>
  </si>
  <si>
    <t>Consortium PI Pestalozzi (Piasio)</t>
  </si>
  <si>
    <t xml:space="preserve">S-Techniques </t>
  </si>
  <si>
    <t>Piasio SA</t>
  </si>
  <si>
    <t>pmt le 15.04 selon mail</t>
  </si>
  <si>
    <t>Menétrey SA</t>
  </si>
  <si>
    <t>Nanou Solutions</t>
  </si>
  <si>
    <t>WL Bau AG</t>
  </si>
  <si>
    <t>Total payé CHF 2864.20</t>
  </si>
  <si>
    <t>Laurent Membrez</t>
  </si>
  <si>
    <t>pmt le 10 du mois, dernier livraison 21.03, payé à Promerka Suisse</t>
  </si>
  <si>
    <t>pmt le 23.05.24</t>
  </si>
  <si>
    <t>Containex GmbH</t>
  </si>
  <si>
    <t>Moret Frères SA</t>
  </si>
  <si>
    <t>Mytoolswiss</t>
  </si>
  <si>
    <t>Edmond Baud SA</t>
  </si>
  <si>
    <t>Amiante Exit Sàrl</t>
  </si>
  <si>
    <t>Consortium DTM DEM Enjeu Malley</t>
  </si>
  <si>
    <t>Semo coaching Lausanne</t>
  </si>
  <si>
    <t>A. Widmer AG</t>
  </si>
  <si>
    <t>Gemeindeverwaltung Gurmels</t>
  </si>
  <si>
    <t>Promerka Design</t>
  </si>
  <si>
    <t>Compensé avec NC 9</t>
  </si>
  <si>
    <t>NC</t>
  </si>
  <si>
    <t>CHF 970.45</t>
  </si>
  <si>
    <t>Birchmeier Spezialtiefbau AG</t>
  </si>
  <si>
    <t>renvoyé le 22.03.2024</t>
  </si>
  <si>
    <t>renvoyé le 18.03.2024</t>
  </si>
  <si>
    <t>Office Consultant</t>
  </si>
  <si>
    <t>Paul Vaucher</t>
  </si>
  <si>
    <t>Total payé CHF 2864.20, erreur pmt, pmt s25 M. Kautscho 07.06</t>
  </si>
  <si>
    <t>60 jours / pmt S23 Mme Cabassud appel le 23.05</t>
  </si>
  <si>
    <t>Pmt s23, tél. Mme Cabasso le 23.05.</t>
  </si>
  <si>
    <t>Swissroc Construcion</t>
  </si>
  <si>
    <t>Rhomberg Sersa Group</t>
  </si>
  <si>
    <t>Atelier Création Kuhn Sàrl</t>
  </si>
  <si>
    <t>Paypal</t>
  </si>
  <si>
    <t>Ledixa Sàrl</t>
  </si>
  <si>
    <t>Simond SA</t>
  </si>
  <si>
    <t>La Regie fonciers du Gros-de-Vaud SA</t>
  </si>
  <si>
    <t>Colas Suisse SA Crissier</t>
  </si>
  <si>
    <t>Commune de Martigny</t>
  </si>
  <si>
    <t>Perrin Frères SA</t>
  </si>
  <si>
    <t>Compensé avec facture 230815</t>
  </si>
  <si>
    <t>renvoyé le 07.05</t>
  </si>
  <si>
    <t>renvoyé le 26.03</t>
  </si>
  <si>
    <t>Steiner Tolochenaz</t>
  </si>
  <si>
    <t>Jäggi + Hafter AG</t>
  </si>
  <si>
    <t>ARSA Construction</t>
  </si>
  <si>
    <t>Consortium Piasio-Implenia</t>
  </si>
  <si>
    <t>240462</t>
  </si>
  <si>
    <t>Epiney Construction SA Sierre</t>
  </si>
  <si>
    <t>NC 13</t>
  </si>
  <si>
    <t>Complex Bau</t>
  </si>
  <si>
    <t>renvoyé 24.06 (mauvais adresse)</t>
  </si>
  <si>
    <t>Martin Paysage</t>
  </si>
  <si>
    <t>Pmt le 12.06 tél GG / Pmt s24 tél. le 11.06 / Pmt s23, tél. Mme Cabasso le 23.05. / R3 à contacter par GG 11.06</t>
  </si>
  <si>
    <t>Dénériaz Sion</t>
  </si>
  <si>
    <t>FA 240233</t>
  </si>
  <si>
    <t>Terraz Daniel</t>
  </si>
  <si>
    <t>Caisse</t>
  </si>
  <si>
    <t xml:space="preserve">ARGE K2 c/o Implenia </t>
  </si>
  <si>
    <t>JBC Solutions</t>
  </si>
  <si>
    <t>Strabag AG</t>
  </si>
  <si>
    <t>Bricks AG</t>
  </si>
  <si>
    <t>Consortium Chauderon-Criblette</t>
  </si>
  <si>
    <t>CHF 2245.25</t>
  </si>
  <si>
    <t xml:space="preserve">Flexsis </t>
  </si>
  <si>
    <t>CHF 593.40</t>
  </si>
  <si>
    <t>Hotelis SA</t>
  </si>
  <si>
    <t>Consortium IBD-GC</t>
  </si>
  <si>
    <t>Consortium Lac de Bienne</t>
  </si>
  <si>
    <t>renvoyé le 14.05</t>
  </si>
  <si>
    <t>JIMEN Services</t>
  </si>
  <si>
    <t>renvoyé le 14.06</t>
  </si>
  <si>
    <t>pmt le 12.06.2024 tél GG du 11.06</t>
  </si>
  <si>
    <t>Pmt prevu le 31.05.2024 / Steve Python 24.05</t>
  </si>
  <si>
    <t>Marti Satigny</t>
  </si>
  <si>
    <t>renvoyé le 22.04</t>
  </si>
  <si>
    <t>Transversal architectes</t>
  </si>
  <si>
    <t>Induni &amp; Cie SA</t>
  </si>
  <si>
    <t>Bieri-Grisoni SA</t>
  </si>
  <si>
    <t>Birchmeier Bau AG Wallbach</t>
  </si>
  <si>
    <t>AET T202</t>
  </si>
  <si>
    <t>USBFactory</t>
  </si>
  <si>
    <t>dossier reçu le 23.05.24</t>
  </si>
  <si>
    <t xml:space="preserve">SAV 1105 en cours </t>
  </si>
  <si>
    <t>Lyreco Switzerland AG</t>
  </si>
  <si>
    <t>Dénériaz Bâtiment et Infrastructures SA</t>
  </si>
  <si>
    <t>Cuénod et Payot</t>
  </si>
  <si>
    <t>Consortium Jonction Matran</t>
  </si>
  <si>
    <t xml:space="preserve">Mota technique </t>
  </si>
  <si>
    <t>Fagsi AG</t>
  </si>
  <si>
    <t>Morinaj Ismet &amp; Hasime</t>
  </si>
  <si>
    <t>Frutiger AG Uetendorf</t>
  </si>
  <si>
    <t>di Vinzenzo Robert</t>
  </si>
  <si>
    <t>240481</t>
  </si>
  <si>
    <t>GeneralMedia SA</t>
  </si>
  <si>
    <t>CBRE</t>
  </si>
  <si>
    <t>OSEO VAUD</t>
  </si>
  <si>
    <t>RM Voie Ferree</t>
  </si>
  <si>
    <t>Consortium AEM - PCR</t>
  </si>
  <si>
    <t>rappel envoyé le 05.06</t>
  </si>
  <si>
    <t>pmt le 10 du mois</t>
  </si>
  <si>
    <t>Marti Construction SA</t>
  </si>
  <si>
    <t>pmt fin s25 M. Da Cunha le 19.06</t>
  </si>
  <si>
    <t>240544</t>
  </si>
  <si>
    <t>en validation selon Da Costa le 11.06/18.06</t>
  </si>
  <si>
    <t>Consortium MEMBREZ-COLAS P.a. COLAS SA Crissier (28323)</t>
  </si>
  <si>
    <t>renvoyé le 25.06.</t>
  </si>
  <si>
    <t>MMI Conseils Sàrl</t>
  </si>
  <si>
    <t>compensation avec facture créancier</t>
  </si>
  <si>
    <t>SOGECA SA</t>
  </si>
  <si>
    <t>Orllati (VD) SA</t>
  </si>
  <si>
    <t>en attente Mme. Claire 12.06/18.06 (pas joignable) / R5 par GG le 18.06</t>
  </si>
  <si>
    <t>Legueret Anaïs</t>
  </si>
  <si>
    <t>Pure Construction SA</t>
  </si>
  <si>
    <t>renvoyé le 06.06.</t>
  </si>
  <si>
    <t>Swissroc Construction</t>
  </si>
  <si>
    <t>Sottas SA</t>
  </si>
  <si>
    <t>Steiner Construction SA</t>
  </si>
  <si>
    <t>Swiss Tracks Sàrl (Marcel)</t>
  </si>
  <si>
    <t>Swissroc Construction SA</t>
  </si>
  <si>
    <t>Tecvia SA</t>
  </si>
  <si>
    <t>Ville de Lancy</t>
  </si>
  <si>
    <t>renvoyé le 30.05.</t>
  </si>
  <si>
    <t>pmt s23 tél. Mme Cabasso le 23.05 / pmt s24 tél. Mme Cabassu le 11.06 / R4 à contacter par GG 11.06 / R5 renvois facture 18.06/ R6 GG pmt s26</t>
  </si>
  <si>
    <t>R4 tél. Mme Bellenot 25.06 en validation par la direction</t>
  </si>
  <si>
    <t>R1 pmt s36 selon Mme Sousa</t>
  </si>
  <si>
    <t>99</t>
  </si>
  <si>
    <t>YEL6431995</t>
  </si>
  <si>
    <t>1186/1084</t>
  </si>
  <si>
    <t>3761</t>
  </si>
  <si>
    <t>177249531</t>
  </si>
  <si>
    <t>Pearl Schweiz GmbH</t>
  </si>
  <si>
    <t>3766</t>
  </si>
  <si>
    <t>6883874</t>
  </si>
  <si>
    <t>Stutzer &amp; Co AG</t>
  </si>
  <si>
    <t>3759</t>
  </si>
  <si>
    <t>14925935</t>
  </si>
  <si>
    <t>Import Ceha 25.06</t>
  </si>
  <si>
    <t>6651903685</t>
  </si>
  <si>
    <t>Import Mades 17.06</t>
  </si>
  <si>
    <t>24-525</t>
  </si>
  <si>
    <t>Maylan Menuiserie-Ebenisterie</t>
  </si>
  <si>
    <t>2 x clé bureau Romanel</t>
  </si>
  <si>
    <t>14926981</t>
  </si>
  <si>
    <t>Import Mades 26.06</t>
  </si>
  <si>
    <t>005444</t>
  </si>
  <si>
    <t>000364</t>
  </si>
  <si>
    <t>3730/3744/3751</t>
  </si>
  <si>
    <t>120203</t>
  </si>
  <si>
    <t>17-23.06</t>
  </si>
  <si>
    <t>2012</t>
  </si>
  <si>
    <t>6651918577</t>
  </si>
  <si>
    <t>Import Mades 19.06</t>
  </si>
  <si>
    <t>24284297</t>
  </si>
  <si>
    <t>AFC Berne</t>
  </si>
  <si>
    <t xml:space="preserve">Intern </t>
  </si>
  <si>
    <t>RT 2023 sur CA 1'739'041</t>
  </si>
  <si>
    <t>PFR44341</t>
  </si>
  <si>
    <t>3778</t>
  </si>
  <si>
    <t>Bugnon Quentin</t>
  </si>
  <si>
    <t>TWINT</t>
  </si>
  <si>
    <t>pmt le 04.07 selon mail du 27.06</t>
  </si>
  <si>
    <t>240378</t>
  </si>
  <si>
    <t>AG2410045</t>
  </si>
  <si>
    <t>4163665</t>
  </si>
  <si>
    <t>3776</t>
  </si>
  <si>
    <t>Compensation</t>
  </si>
  <si>
    <t>78.08x52.00 +52 / 24.33x40.00 ; facture compensée avec 20240531</t>
  </si>
  <si>
    <t>243009734</t>
  </si>
  <si>
    <t>Bureau/3763</t>
  </si>
  <si>
    <t>37019173</t>
  </si>
  <si>
    <t>3780</t>
  </si>
  <si>
    <t>Paul 01-15.06</t>
  </si>
  <si>
    <t>2024-2190</t>
  </si>
  <si>
    <t>Famatech GmbH</t>
  </si>
  <si>
    <t>20240701</t>
  </si>
  <si>
    <t>Marcel 06/2024</t>
  </si>
  <si>
    <t>2024058743</t>
  </si>
  <si>
    <t>307.85 / 17.31</t>
  </si>
  <si>
    <t>61.25x52.00+ 10.00</t>
  </si>
  <si>
    <t>26.16 x 36.00 + 36.00</t>
  </si>
  <si>
    <t>pmt fin s25 M Ramiz le 13.06 / R4 contacté compta et M. Ramiz le 25.06 en attente retour / R5 contacté M. Ramiz 02.07</t>
  </si>
  <si>
    <t>Consortium Vennes-Chexbres TP4</t>
  </si>
  <si>
    <t>renvoyé le 02.07 (adresse)</t>
  </si>
  <si>
    <t>Consortium LEB Membrez-Colas</t>
  </si>
  <si>
    <t>en vacance du 24.06-05.07.</t>
  </si>
  <si>
    <t>6651928032</t>
  </si>
  <si>
    <t>Import Bauknecht 22.06/Antares 24.06/Ceha 25.06</t>
  </si>
  <si>
    <t>22402702</t>
  </si>
  <si>
    <t>22402631</t>
  </si>
  <si>
    <t>Intervention 13.05-28.05</t>
  </si>
  <si>
    <t>facture modifiée de 5000</t>
  </si>
  <si>
    <t>Construction Perret SA</t>
  </si>
  <si>
    <t>Nasca Formation SA/Semo Coaching</t>
  </si>
  <si>
    <t>Birchmeier Bau AG</t>
  </si>
  <si>
    <t>2803006974 (1/2)</t>
  </si>
  <si>
    <t>2803006974 (2/2)</t>
  </si>
  <si>
    <t>14931959</t>
  </si>
  <si>
    <t>Import Narbutas 03.07</t>
  </si>
  <si>
    <t>03.06-07.07</t>
  </si>
  <si>
    <t>01057</t>
  </si>
  <si>
    <t>1477358634</t>
  </si>
  <si>
    <t>66653</t>
  </si>
  <si>
    <t>240556</t>
  </si>
  <si>
    <t>11143162</t>
  </si>
  <si>
    <t>182403860</t>
  </si>
  <si>
    <t>3782</t>
  </si>
  <si>
    <t>6651946949</t>
  </si>
  <si>
    <t>remplace la fa avec TVA 7.7</t>
  </si>
  <si>
    <t>20240630</t>
  </si>
  <si>
    <t>E27968 (1/2)</t>
  </si>
  <si>
    <t>E27968 (2/2)</t>
  </si>
  <si>
    <t>3638</t>
  </si>
  <si>
    <t>3768</t>
  </si>
  <si>
    <t>compte</t>
  </si>
  <si>
    <t>année</t>
  </si>
  <si>
    <t>3779</t>
  </si>
  <si>
    <t>4164700</t>
  </si>
  <si>
    <t>3788</t>
  </si>
  <si>
    <t>20240706</t>
  </si>
  <si>
    <t>45.66x36.00+36.00</t>
  </si>
  <si>
    <t>Paul 17-28.06</t>
  </si>
  <si>
    <t>PFR44451</t>
  </si>
  <si>
    <t>6651966731</t>
  </si>
  <si>
    <t>Import Work with Island 01.07</t>
  </si>
  <si>
    <t>Narbutas FA00603</t>
  </si>
  <si>
    <t>2000/2012.1</t>
  </si>
  <si>
    <t>20007101947</t>
  </si>
  <si>
    <t>20007103552</t>
  </si>
  <si>
    <t xml:space="preserve">03-05/24- 11+12 </t>
  </si>
  <si>
    <t>03-05/24 3+15</t>
  </si>
  <si>
    <t>2020103017</t>
  </si>
  <si>
    <t>en attente marchandise; acompte 30%</t>
  </si>
  <si>
    <t>en attente marchandise; solde 70%</t>
  </si>
  <si>
    <t>en attente marchandise; solde 70%; pmt 10 jours après réception du BL selon GG le 27.06</t>
  </si>
  <si>
    <t>solde 70%</t>
  </si>
  <si>
    <t xml:space="preserve">acompte 50% </t>
  </si>
  <si>
    <t>Leasing</t>
  </si>
  <si>
    <t>Commune de Penthalaz</t>
  </si>
  <si>
    <t>René Mathez SA</t>
  </si>
  <si>
    <t>Techni Stores Sàrl</t>
  </si>
  <si>
    <t xml:space="preserve">    Leasing à payer:</t>
  </si>
  <si>
    <t>GiftMedia Sàrl</t>
  </si>
  <si>
    <t>renvoyé le 03.06 / le 10.07 mod. Adresse</t>
  </si>
  <si>
    <t>pmt fin s28 selon M Pluas le 09.07</t>
  </si>
  <si>
    <t>Commune de Saint-Maurice</t>
  </si>
  <si>
    <t>remplace FA 121459</t>
  </si>
  <si>
    <t>600170</t>
  </si>
  <si>
    <t>Date WB 01.07</t>
  </si>
  <si>
    <t>6651979343</t>
  </si>
  <si>
    <t>Import Narbutas 04.07</t>
  </si>
  <si>
    <t>2406304</t>
  </si>
  <si>
    <t>4165210</t>
  </si>
  <si>
    <t>OZH2024-026</t>
  </si>
  <si>
    <t>3738</t>
  </si>
  <si>
    <t>3795</t>
  </si>
  <si>
    <t>pmt le 12.07</t>
  </si>
  <si>
    <t>Laurent Membrez SA</t>
  </si>
  <si>
    <t>Marti Construction SA, succursale de Satigny</t>
  </si>
  <si>
    <t>Orllati Logistique SA</t>
  </si>
  <si>
    <t>14923104</t>
  </si>
  <si>
    <t>Import Mades 12.06 OZH-017</t>
  </si>
  <si>
    <t>Import Mades 12.06 OZH-018</t>
  </si>
  <si>
    <t>remplace W3856001, pmt en trop de 1'147.20, date WB 01.07.2024</t>
  </si>
  <si>
    <t>41969</t>
  </si>
  <si>
    <t>41963</t>
  </si>
  <si>
    <t>Landi Lonay</t>
  </si>
  <si>
    <t>3789</t>
  </si>
  <si>
    <t>20073299603</t>
  </si>
  <si>
    <t>3792</t>
  </si>
  <si>
    <t>202407000</t>
  </si>
  <si>
    <t>07/12</t>
  </si>
  <si>
    <t>600655</t>
  </si>
  <si>
    <t>09.07</t>
  </si>
  <si>
    <t>150724</t>
  </si>
  <si>
    <t>JM Service</t>
  </si>
  <si>
    <t>Montage</t>
  </si>
  <si>
    <t>240513</t>
  </si>
  <si>
    <t>06</t>
  </si>
  <si>
    <t>4165676</t>
  </si>
  <si>
    <t>3801</t>
  </si>
  <si>
    <t>20073299653</t>
  </si>
  <si>
    <t>3797</t>
  </si>
  <si>
    <t>pmt le 16.07 tél Mme. Gerdil  / mail à M. Guery 15.07</t>
  </si>
  <si>
    <t>renvoyé le 16.07 par mail/ envoi rappel par la poste</t>
  </si>
  <si>
    <t>Cuénod et Payot Chablais SA</t>
  </si>
  <si>
    <t>005499</t>
  </si>
  <si>
    <t>000379</t>
  </si>
  <si>
    <t>3790</t>
  </si>
  <si>
    <t>6652008712</t>
  </si>
  <si>
    <t>Import Mobika 11.07</t>
  </si>
  <si>
    <t>14938117</t>
  </si>
  <si>
    <t>Import Mades 17.07</t>
  </si>
  <si>
    <t>22403024</t>
  </si>
  <si>
    <t>Intervention 12-25.06</t>
  </si>
  <si>
    <t>202401069</t>
  </si>
  <si>
    <t>50% solde</t>
  </si>
  <si>
    <t>6886003</t>
  </si>
  <si>
    <t>3799</t>
  </si>
  <si>
    <t>4861301</t>
  </si>
  <si>
    <t>Outils Promerka</t>
  </si>
  <si>
    <t>tél. M Jaggi 22.07 /pmt le 16.07 tél. M. Russi 16.07 /mail à M. Jaggi 15.07</t>
  </si>
  <si>
    <t>pmt de 676.15 le 02.05</t>
  </si>
  <si>
    <t>130</t>
  </si>
  <si>
    <t>3793</t>
  </si>
  <si>
    <t>36146</t>
  </si>
  <si>
    <t>Actimat</t>
  </si>
  <si>
    <t>3807</t>
  </si>
  <si>
    <t>Ferroflex</t>
  </si>
  <si>
    <t>OZH2024-027</t>
  </si>
  <si>
    <t>3775</t>
  </si>
  <si>
    <t>Attelage boule remorque</t>
  </si>
  <si>
    <t>renvoyé le 16.07 M. Sidler Bernasconi</t>
  </si>
  <si>
    <t>pmt le 30.07 M. Sidler le 23.07</t>
  </si>
  <si>
    <t>005518</t>
  </si>
  <si>
    <t>000386</t>
  </si>
  <si>
    <t>3745/3757/3762/3771/3777/3785/3786</t>
  </si>
  <si>
    <t>601453</t>
  </si>
  <si>
    <t>15.07</t>
  </si>
  <si>
    <t>6652040854</t>
  </si>
  <si>
    <t>8072</t>
  </si>
  <si>
    <t>Auto Romanel SA</t>
  </si>
  <si>
    <t>Rép. pneu remorque</t>
  </si>
  <si>
    <t>07</t>
  </si>
  <si>
    <t>14940857</t>
  </si>
  <si>
    <t>Import Narbutas 23.07</t>
  </si>
  <si>
    <t>solde</t>
  </si>
  <si>
    <t>29'822.15</t>
  </si>
  <si>
    <t>202418000</t>
  </si>
  <si>
    <t>7'500</t>
  </si>
  <si>
    <t>27'000</t>
  </si>
  <si>
    <t>22'000</t>
  </si>
  <si>
    <t>07/12+</t>
  </si>
  <si>
    <t>182404412</t>
  </si>
  <si>
    <t>3781</t>
  </si>
  <si>
    <t>Rimella et Console SA</t>
  </si>
  <si>
    <t>Michel Emilie</t>
  </si>
  <si>
    <t>Dénériaz SA Lausanne</t>
  </si>
  <si>
    <t>Einwohnergemeinde Birr</t>
  </si>
  <si>
    <t>renvoyé le 05.08</t>
  </si>
  <si>
    <t>14943747</t>
  </si>
  <si>
    <t>Import Mades 29.07</t>
  </si>
  <si>
    <t>2024067599</t>
  </si>
  <si>
    <t>14943743</t>
  </si>
  <si>
    <t>Import Narbutas 29.07</t>
  </si>
  <si>
    <t>602108</t>
  </si>
  <si>
    <t>28.06-18.07</t>
  </si>
  <si>
    <t>11167311</t>
  </si>
  <si>
    <t>4.75% de 16707.57 / 60 jours</t>
  </si>
  <si>
    <t>Intérêts 1T2024</t>
  </si>
  <si>
    <t>4167946</t>
  </si>
  <si>
    <t>3828</t>
  </si>
  <si>
    <t>14946050</t>
  </si>
  <si>
    <t>Import Nowy Styl 05.08</t>
  </si>
  <si>
    <t>01223</t>
  </si>
  <si>
    <t>1487103900</t>
  </si>
  <si>
    <t>augmentation de 3.8% 04.07. /  72.95 dès 09/24</t>
  </si>
  <si>
    <t>20240731</t>
  </si>
  <si>
    <t>80.50x52.00 + 5.25x36.00 + 14.00</t>
  </si>
  <si>
    <t>Nowy Styl</t>
  </si>
  <si>
    <t>AMS Ameropa Marketing and Sales AG</t>
  </si>
  <si>
    <t>Colas Suisse SA, succursale de Satigny</t>
  </si>
  <si>
    <t>Consortium ISOS (Induni-Scrasa-Orllati)</t>
  </si>
  <si>
    <t>ERTEC SA</t>
  </si>
  <si>
    <t>Panchaud Lionel</t>
  </si>
  <si>
    <t>Déco-Pub SA</t>
  </si>
  <si>
    <t>547821</t>
  </si>
  <si>
    <t>67070</t>
  </si>
  <si>
    <t>Avoir 4100.35 du 08.07</t>
  </si>
  <si>
    <t>Date 
du paiement</t>
  </si>
  <si>
    <t>Swissroc Construction SA Plan-les-Ouates</t>
  </si>
  <si>
    <t>renvoyé le 08.08 à fcm</t>
  </si>
  <si>
    <t>95052495</t>
  </si>
  <si>
    <t>GU zu 95052494</t>
  </si>
  <si>
    <t>2020103785</t>
  </si>
  <si>
    <t>colis ?</t>
  </si>
  <si>
    <t>240647/240733/240740</t>
  </si>
  <si>
    <t>3824</t>
  </si>
  <si>
    <t>H.T. Trade Service GmbH (Premium/Home24)</t>
  </si>
  <si>
    <t>7323576</t>
  </si>
  <si>
    <t>24082010041104</t>
  </si>
  <si>
    <t>24082010039260</t>
  </si>
  <si>
    <t xml:space="preserve">08/24 - 0788557007 </t>
  </si>
  <si>
    <t>08/24 - 0787157004</t>
  </si>
  <si>
    <t>6887369</t>
  </si>
  <si>
    <t>202408000</t>
  </si>
  <si>
    <t>4159002266</t>
  </si>
  <si>
    <t>annule FA 4190270537</t>
  </si>
  <si>
    <t>3827</t>
  </si>
  <si>
    <t>20073352421</t>
  </si>
  <si>
    <t>3826</t>
  </si>
  <si>
    <t>3808</t>
  </si>
  <si>
    <t>000406</t>
  </si>
  <si>
    <t>000416</t>
  </si>
  <si>
    <t>3798/3806/3805/3815</t>
  </si>
  <si>
    <t>6652053687</t>
  </si>
  <si>
    <t>6652078515</t>
  </si>
  <si>
    <t>Import Mades 29.07/Narbutas 29.07</t>
  </si>
  <si>
    <t>6652101262</t>
  </si>
  <si>
    <t xml:space="preserve">20073228235   </t>
  </si>
  <si>
    <t>3740</t>
  </si>
  <si>
    <t>20073315057</t>
  </si>
  <si>
    <t>3802</t>
  </si>
  <si>
    <t>F2405049444</t>
  </si>
  <si>
    <t>501468670</t>
  </si>
  <si>
    <t>Home24 SE</t>
  </si>
  <si>
    <t>F.Bernasconi &amp; Cie SA</t>
  </si>
  <si>
    <t>renvoyé le 05.08. à Bernasconi, renvoyé le 22.07 à JPF Holding M Pedrosa</t>
  </si>
  <si>
    <t>R7 tél. le 13.08 / pmt s32 appel à GG de CityNet le 28.07</t>
  </si>
  <si>
    <t>20073345181</t>
  </si>
  <si>
    <t>20073334031</t>
  </si>
  <si>
    <t>NC de CHF 50 deduit</t>
  </si>
  <si>
    <t>3818</t>
  </si>
  <si>
    <t>3822</t>
  </si>
  <si>
    <t>194</t>
  </si>
  <si>
    <t>126</t>
  </si>
  <si>
    <t>3832</t>
  </si>
  <si>
    <t>GEOEG Sàrl</t>
  </si>
  <si>
    <t>11855/3767</t>
  </si>
  <si>
    <t>Service transpalette</t>
  </si>
  <si>
    <t>14950352</t>
  </si>
  <si>
    <t>Import Narbutas 14.08</t>
  </si>
  <si>
    <t>RAPPELS : compta-leman@colas.ch / renvoyé le 15.08</t>
  </si>
  <si>
    <t>03145251 8801</t>
  </si>
  <si>
    <t>Vaudoise</t>
  </si>
  <si>
    <t>Interne</t>
  </si>
  <si>
    <t>Ass. Vie 09/24-08/25</t>
  </si>
  <si>
    <t>605175</t>
  </si>
  <si>
    <t>remplace fa 604942</t>
  </si>
  <si>
    <t>24.07-09.08</t>
  </si>
  <si>
    <t>6633514</t>
  </si>
  <si>
    <t>Frais Gabriel Gagnère</t>
  </si>
  <si>
    <t>pmt s34 Mme. Klotzsche le 14.08</t>
  </si>
  <si>
    <t>124210178</t>
  </si>
  <si>
    <t>NC pour FA 124114051</t>
  </si>
  <si>
    <t>4169971</t>
  </si>
  <si>
    <t>3838</t>
  </si>
  <si>
    <t>pmt s34 mail M. Bouguerra le 19.08  / R7 envoyé par GG le 08.08, pmt le 31.07 tél. Mme. Waever le 16.07</t>
  </si>
  <si>
    <t>pmt s34/35 mail M. Masson le 19.08 / en attente GG 12.08 , facture refusée</t>
  </si>
  <si>
    <t>renvoyé le 25.07</t>
  </si>
  <si>
    <t>pmt le 30.08 avec 5% escompte ok GG</t>
  </si>
  <si>
    <t>date WB 01.08</t>
  </si>
  <si>
    <t>2401194</t>
  </si>
  <si>
    <t>Itelium Sàrl</t>
  </si>
  <si>
    <t>Intervention Winbiz GG</t>
  </si>
  <si>
    <t>182404919</t>
  </si>
  <si>
    <t>3821</t>
  </si>
  <si>
    <t>6652139543</t>
  </si>
  <si>
    <t>facture refusée en attente GG 22.08</t>
  </si>
  <si>
    <t>annulé avec NC 4159002266</t>
  </si>
  <si>
    <t>Compensé</t>
  </si>
  <si>
    <t>4190276403</t>
  </si>
  <si>
    <t>4190276404</t>
  </si>
  <si>
    <t>TVA facturé via OFDF</t>
  </si>
  <si>
    <t>3686</t>
  </si>
  <si>
    <t>facture refusée le 12.08, renvoyé le 08.08 et le 23.08</t>
  </si>
  <si>
    <t>facture refusée le 21.08, renvoyé à M. Masson le 23.08</t>
  </si>
  <si>
    <t>FA2407049928</t>
  </si>
  <si>
    <t>Date WB 01.08</t>
  </si>
  <si>
    <t>Mobika 3764</t>
  </si>
  <si>
    <t>Mobika 3714/3688/3719</t>
  </si>
  <si>
    <t>OZH2024-029</t>
  </si>
  <si>
    <t>3812</t>
  </si>
  <si>
    <t>Complex Bau AG</t>
  </si>
  <si>
    <t>Physioplus</t>
  </si>
  <si>
    <t>Kaiser+Kraft  AG</t>
  </si>
  <si>
    <t>3840</t>
  </si>
  <si>
    <t>Colas Suisse SA, succursale de Crissier</t>
  </si>
  <si>
    <t>95052494</t>
  </si>
  <si>
    <t>FA annulée avec NC 95052495</t>
  </si>
  <si>
    <t>3753</t>
  </si>
  <si>
    <t>202408-001</t>
  </si>
  <si>
    <t>20073349421</t>
  </si>
  <si>
    <t>Gagnère Gabriel</t>
  </si>
  <si>
    <t>3926328</t>
  </si>
  <si>
    <t>Facture d'acompte</t>
  </si>
  <si>
    <t>Atelier d'Architecture PA Felli</t>
  </si>
  <si>
    <t>renvoyé le 28.08</t>
  </si>
  <si>
    <t>appel Mme. Brauer 28.08 / renvoyé le 15.07 réf. et le 28.08</t>
  </si>
  <si>
    <t>mail à M. Guery le 28.08</t>
  </si>
  <si>
    <t>pmt le 02.09 M. Basset le 28.08</t>
  </si>
  <si>
    <t>pmt le 30.08 M. Kushdrim le 28.08 / mail à M. Rodrigues 28.08 - en vacance -&gt; 29.10</t>
  </si>
  <si>
    <t>Frais 07/24</t>
  </si>
  <si>
    <t>Marcel et Paul 07/24</t>
  </si>
  <si>
    <t>renvoyé le 14.08</t>
  </si>
  <si>
    <t>pmt le 30.08 M. Costa le 29.08</t>
  </si>
  <si>
    <t>202408</t>
  </si>
  <si>
    <t>LVG Nettoyages</t>
  </si>
  <si>
    <t>Nettoyage 08/24</t>
  </si>
  <si>
    <t>14955060</t>
  </si>
  <si>
    <t>Import Narbutas 27.08</t>
  </si>
  <si>
    <t>pmt prevu le 06.09 M. Henry le 29.08 (079 948 80 49)</t>
  </si>
  <si>
    <t>27247</t>
  </si>
  <si>
    <t>Clarma SA (Ledixa Sàrl)</t>
  </si>
  <si>
    <t>3810</t>
  </si>
  <si>
    <t>5194762</t>
  </si>
  <si>
    <t>Ambiente Direct</t>
  </si>
  <si>
    <t>20240829</t>
  </si>
  <si>
    <t>3823</t>
  </si>
  <si>
    <t>66.00x52.00 + 13</t>
  </si>
  <si>
    <t>Cornille Arnaud</t>
  </si>
  <si>
    <t>Clarma SA</t>
  </si>
  <si>
    <t>pmt le 03.09 Mme. Toksoy le 29.08 / mail à M. Bazar et compta le 29.08 / appel M. Basar le 26.08 / en attente validation selon compta le 21.08</t>
  </si>
  <si>
    <t>243013003</t>
  </si>
  <si>
    <t>5-24</t>
  </si>
  <si>
    <t>Inspection VW Crafter</t>
  </si>
  <si>
    <t>Véhicules</t>
  </si>
  <si>
    <t>202401093796</t>
  </si>
  <si>
    <t>UPS United Parcel Services AG</t>
  </si>
  <si>
    <t>Swissroc</t>
  </si>
  <si>
    <t>6652183550</t>
  </si>
  <si>
    <t>14957256</t>
  </si>
  <si>
    <t>Import Mades 30.08</t>
  </si>
  <si>
    <t>2024076374</t>
  </si>
  <si>
    <t>20073415178</t>
  </si>
  <si>
    <t>3846</t>
  </si>
  <si>
    <t>3928648</t>
  </si>
  <si>
    <t>AVANCE</t>
  </si>
  <si>
    <t xml:space="preserve">Facture final </t>
  </si>
  <si>
    <t>2403011421</t>
  </si>
  <si>
    <t>08</t>
  </si>
  <si>
    <t>2422</t>
  </si>
  <si>
    <t>2423</t>
  </si>
  <si>
    <t>2424</t>
  </si>
  <si>
    <t>Loyer 10/24</t>
  </si>
  <si>
    <t>Loyer 11/24</t>
  </si>
  <si>
    <t>Loyer 12/24</t>
  </si>
  <si>
    <t>11193732</t>
  </si>
  <si>
    <t>20240831</t>
  </si>
  <si>
    <t>3774</t>
  </si>
  <si>
    <t>Acompte</t>
  </si>
  <si>
    <t>pmt le 06.09 Fr. Klotzsche le 03.09</t>
  </si>
  <si>
    <t>pmt 06.09 M. Da Cunha le 04.09 / en traitement M. Da Cunha le 28.08</t>
  </si>
  <si>
    <t>pmt le 06.09 M. Kushrdrim le 04.09 / appel M. Kushrdrim (076 616 39 07) le 28.08 en attente de validation par M. Rodrigues</t>
  </si>
  <si>
    <t>&gt;délai+5
jours</t>
  </si>
  <si>
    <t>37896651</t>
  </si>
  <si>
    <t>3848</t>
  </si>
  <si>
    <t>01396</t>
  </si>
  <si>
    <t>1495419451</t>
  </si>
  <si>
    <t>632479143</t>
  </si>
  <si>
    <t>Masse 81'000x4</t>
  </si>
  <si>
    <t>4T2024</t>
  </si>
  <si>
    <t>Orllati Management SA</t>
  </si>
  <si>
    <t>2020104533</t>
  </si>
  <si>
    <t>4190277959</t>
  </si>
  <si>
    <t>3850</t>
  </si>
  <si>
    <t>000426</t>
  </si>
  <si>
    <t>000428</t>
  </si>
  <si>
    <t>3814/3816/3817/3830/3829</t>
  </si>
  <si>
    <t>67455</t>
  </si>
  <si>
    <t>240772/240797/240814</t>
  </si>
  <si>
    <t>129</t>
  </si>
  <si>
    <t>128</t>
  </si>
  <si>
    <t>105</t>
  </si>
  <si>
    <t>Couvertes bureau</t>
  </si>
  <si>
    <t>19.08-08.09</t>
  </si>
  <si>
    <t>2803050766 (1/2)</t>
  </si>
  <si>
    <t>2803050766 (2/2)</t>
  </si>
  <si>
    <t>2803106604 (1/2)</t>
  </si>
  <si>
    <t>2803106604 (2/2)</t>
  </si>
  <si>
    <t>3784/3809/3809/3819</t>
  </si>
  <si>
    <t>BU</t>
  </si>
  <si>
    <t>3825</t>
  </si>
  <si>
    <t>Date WB 01.09</t>
  </si>
  <si>
    <t>2407870</t>
  </si>
  <si>
    <t>Delticom AG</t>
  </si>
  <si>
    <t>CH06228605</t>
  </si>
  <si>
    <t>Pneus hivers Mercedes camion</t>
  </si>
  <si>
    <t>14962173</t>
  </si>
  <si>
    <t>6652211171</t>
  </si>
  <si>
    <t>remplace fa 608033</t>
  </si>
  <si>
    <t>608545</t>
  </si>
  <si>
    <t>20007152610</t>
  </si>
  <si>
    <t>20007155508</t>
  </si>
  <si>
    <t xml:space="preserve">06-08/24- 11+12 </t>
  </si>
  <si>
    <t>06-08/24 3+15</t>
  </si>
  <si>
    <t>pmt le 18-25.09 M. Ruolt le 12.09 /pmt le 10.09 M. Kobler le 29.08 / mail à cpta le 29.08 /appel cpta le 28.08 sans succés / mail à M Ruolt 28.08 /pmt à 30 jours fin de mois le 10</t>
  </si>
  <si>
    <t>Projet-co Sàrl</t>
  </si>
  <si>
    <t>Bosson Laurent</t>
  </si>
  <si>
    <t>Komsolution SA / NIKA SOLAR</t>
  </si>
  <si>
    <t>renvoyé le 13.09 chmgt adresse</t>
  </si>
  <si>
    <t>recu pmt de 1779.20 en trop le 13.09</t>
  </si>
  <si>
    <t>Renvoyé à Komsolution 13.09 /mail à Banga et Ejupi le 29.08</t>
  </si>
  <si>
    <t>3835</t>
  </si>
  <si>
    <t>4172681</t>
  </si>
  <si>
    <t>3853</t>
  </si>
  <si>
    <t>Frais 08/24</t>
  </si>
  <si>
    <t>RMB GG 30.09</t>
  </si>
  <si>
    <t>service fournisseur fermé du 19.08 au 06.09, escompte 5%</t>
  </si>
  <si>
    <t>Bilel</t>
  </si>
  <si>
    <t>Veronica</t>
  </si>
  <si>
    <t>Sandra</t>
  </si>
  <si>
    <t>Gabriel</t>
  </si>
  <si>
    <t>24080010067889</t>
  </si>
  <si>
    <t>OZH2024-030</t>
  </si>
  <si>
    <t>OZH2024-031</t>
  </si>
  <si>
    <t>3836</t>
  </si>
  <si>
    <t>14967152</t>
  </si>
  <si>
    <t>Import Mades 19.09</t>
  </si>
  <si>
    <t>1680141</t>
  </si>
  <si>
    <t>Viking Schweiz GmbH</t>
  </si>
  <si>
    <t>3860</t>
  </si>
  <si>
    <t>22403613</t>
  </si>
  <si>
    <t>202409000</t>
  </si>
  <si>
    <t>30'885</t>
  </si>
  <si>
    <t>29'500</t>
  </si>
  <si>
    <t>1404773</t>
  </si>
  <si>
    <t>Larag SA</t>
  </si>
  <si>
    <t>Feu recul Mercedes 316 CDI camion</t>
  </si>
  <si>
    <t>Millennium Center SA</t>
  </si>
  <si>
    <t>PROCIMMO SA</t>
  </si>
  <si>
    <t>Ropraz SA Romont</t>
  </si>
  <si>
    <t>Frutiger SA Vaud</t>
  </si>
  <si>
    <t>14969985</t>
  </si>
  <si>
    <t>Import Mades 25.09</t>
  </si>
  <si>
    <t>OZH2024-032</t>
  </si>
  <si>
    <t>3837</t>
  </si>
  <si>
    <t>005586</t>
  </si>
  <si>
    <t>mFU/Transport</t>
  </si>
  <si>
    <t>3839/3844/3845/3843+transport</t>
  </si>
  <si>
    <t>6652253925</t>
  </si>
  <si>
    <t>6652240223</t>
  </si>
  <si>
    <t>Guedouche 09/24</t>
  </si>
  <si>
    <t>605790</t>
  </si>
  <si>
    <t>12-25.08</t>
  </si>
  <si>
    <t>202410</t>
  </si>
  <si>
    <t>Rmbt crédit 4T2024</t>
  </si>
  <si>
    <t>7026487</t>
  </si>
  <si>
    <t>Kuehne+Nagel</t>
  </si>
  <si>
    <t>Vestar 3658</t>
  </si>
  <si>
    <t>6890818</t>
  </si>
  <si>
    <t>3858</t>
  </si>
  <si>
    <t>2004</t>
  </si>
  <si>
    <t>pmt en cours Mme Sieber le 01.10</t>
  </si>
  <si>
    <t>Bertholet et Mathis SA</t>
  </si>
  <si>
    <t>2408274</t>
  </si>
  <si>
    <t>3857</t>
  </si>
  <si>
    <t>AR2411740</t>
  </si>
  <si>
    <t>3834</t>
  </si>
  <si>
    <t>14972117</t>
  </si>
  <si>
    <t>Import Narbutas 10.09</t>
  </si>
  <si>
    <t>Import Narbutas 30.09</t>
  </si>
  <si>
    <t>20241001</t>
  </si>
  <si>
    <t>54.58x52.00 + 30</t>
  </si>
  <si>
    <t>22403918</t>
  </si>
  <si>
    <t xml:space="preserve">Renouvellement MITEL 02.12.2024 </t>
  </si>
  <si>
    <t>243014685</t>
  </si>
  <si>
    <t>remplace FA 609633</t>
  </si>
  <si>
    <t>610108</t>
  </si>
  <si>
    <t>6652281000</t>
  </si>
  <si>
    <t>Import Mobika 12.09</t>
  </si>
  <si>
    <t>Import Vestar 18.09 / Mades 19.09</t>
  </si>
  <si>
    <t>Consortium PI Pestalozzi (Implenia)</t>
  </si>
  <si>
    <t>165</t>
  </si>
  <si>
    <t>09</t>
  </si>
  <si>
    <t>4174027</t>
  </si>
  <si>
    <t>4174096</t>
  </si>
  <si>
    <t>3869</t>
  </si>
  <si>
    <t>3870</t>
  </si>
  <si>
    <t>2024085362</t>
  </si>
  <si>
    <t>110-7112</t>
  </si>
  <si>
    <t>Pemsa SA</t>
  </si>
  <si>
    <t>Charrat Maher 12-27.09</t>
  </si>
  <si>
    <t>2803162604 (1/2)</t>
  </si>
  <si>
    <t>2803162604 (2/2)</t>
  </si>
  <si>
    <t>3851/3859</t>
  </si>
  <si>
    <t>14974207</t>
  </si>
  <si>
    <t>Import Mades 02.10</t>
  </si>
  <si>
    <t>6652314939</t>
  </si>
  <si>
    <t>6891455</t>
  </si>
  <si>
    <t>eau personnel 504x1.5l + 1728x0.5l</t>
  </si>
  <si>
    <t>mail à M. Guery le 02.10</t>
  </si>
  <si>
    <t>mail à M. Ruffieux le 02.10</t>
  </si>
  <si>
    <t>Jean Bollini et Cie SA</t>
  </si>
  <si>
    <t>Ville de Martigny</t>
  </si>
  <si>
    <t>20240930</t>
  </si>
  <si>
    <t>11216484</t>
  </si>
  <si>
    <t>Swissroc Construction SA Bussigny</t>
  </si>
  <si>
    <t>4190281068</t>
  </si>
  <si>
    <t>3878</t>
  </si>
  <si>
    <t>67785</t>
  </si>
  <si>
    <t>240886</t>
  </si>
  <si>
    <t>612082</t>
  </si>
  <si>
    <t>1503754108</t>
  </si>
  <si>
    <t>Zakaria 18-19.09 / 03.10</t>
  </si>
  <si>
    <t>01591</t>
  </si>
  <si>
    <t>202409</t>
  </si>
  <si>
    <t>Nettoyage 09/24</t>
  </si>
  <si>
    <t>contacté par GG / pmt le 18-25.09 M. Ruolt le 12.09 /pmt le 10.09 M. Kobler le 29.08 / mail à cpta le 29.08 /appel cpta le 28.08 sans succés / mail à M Ruolt 28.08 /pmt à 30 jours fin de mois le 10</t>
  </si>
  <si>
    <t>20</t>
  </si>
  <si>
    <t>50</t>
  </si>
  <si>
    <t>80</t>
  </si>
  <si>
    <t>110</t>
  </si>
  <si>
    <t>140</t>
  </si>
  <si>
    <t>renvoyé le 01.10 M. Pagliuca</t>
  </si>
  <si>
    <t xml:space="preserve">renvoyé le 05.09 M. Basset / renvoyé le 02.07 (adresse), appel 12.08 M. Basset 079 815 67 10 Colas </t>
  </si>
  <si>
    <t>mail à Mme Stragapede le 09.10</t>
  </si>
  <si>
    <t>20073473360</t>
  </si>
  <si>
    <t>3876</t>
  </si>
  <si>
    <t>6652332410</t>
  </si>
  <si>
    <t>38366153</t>
  </si>
  <si>
    <t>3884</t>
  </si>
  <si>
    <t>005603</t>
  </si>
  <si>
    <t>000078</t>
  </si>
  <si>
    <t>3820/D-chair/transport</t>
  </si>
  <si>
    <t>3806</t>
  </si>
  <si>
    <t>2020105411</t>
  </si>
  <si>
    <t>renvoyé le 08.10 (mod. adresse)</t>
  </si>
  <si>
    <t>Paul Vaucher SA</t>
  </si>
  <si>
    <t>RM VOIE FERREE</t>
  </si>
  <si>
    <t>4174826</t>
  </si>
  <si>
    <t>3879</t>
  </si>
  <si>
    <t>Rampini &amp; Cie SA</t>
  </si>
  <si>
    <t>20240359</t>
  </si>
  <si>
    <t>Carrosserie de Romanel</t>
  </si>
  <si>
    <t>Rép. VW Crafter</t>
  </si>
  <si>
    <t>6652344277</t>
  </si>
  <si>
    <t>4175085</t>
  </si>
  <si>
    <t>3881</t>
  </si>
  <si>
    <t>14980082</t>
  </si>
  <si>
    <t>Import Narbutas 15.10</t>
  </si>
  <si>
    <t>2408994</t>
  </si>
  <si>
    <t>2408993</t>
  </si>
  <si>
    <t>3871</t>
  </si>
  <si>
    <t>3890</t>
  </si>
  <si>
    <t>60486864</t>
  </si>
  <si>
    <t>202410000</t>
  </si>
  <si>
    <t>613053</t>
  </si>
  <si>
    <t>23.09-13.10</t>
  </si>
  <si>
    <t>10</t>
  </si>
  <si>
    <t>compensé avec fa 240644</t>
  </si>
  <si>
    <t>compensé avec NC15</t>
  </si>
  <si>
    <t>20241017</t>
  </si>
  <si>
    <t>Hôtel Bilel 240962</t>
  </si>
  <si>
    <t>Baloise</t>
  </si>
  <si>
    <t>1010969438</t>
  </si>
  <si>
    <t>8406</t>
  </si>
  <si>
    <t>Mercedes camion, chgmt pneus</t>
  </si>
  <si>
    <t>ECA 2024 valeur 223'300</t>
  </si>
  <si>
    <t>124116966</t>
  </si>
  <si>
    <t>3872</t>
  </si>
  <si>
    <t>3895</t>
  </si>
  <si>
    <t>DHL Freight</t>
  </si>
  <si>
    <t>652124007155</t>
  </si>
  <si>
    <t>Import Flexispot 18.10</t>
  </si>
  <si>
    <t>FA2409050628</t>
  </si>
  <si>
    <t>Date WB 01.10</t>
  </si>
  <si>
    <t>Mobika 11.09</t>
  </si>
  <si>
    <t>renvoyé le 21.10 chgmt adresse</t>
  </si>
  <si>
    <t>Consortium Santé p.a. Frutiger SA Vaud</t>
  </si>
  <si>
    <t>Consortium AMAVA (Marti Arc Jura SA)</t>
  </si>
  <si>
    <t>Colas Suisse DG SA</t>
  </si>
  <si>
    <t>R20240803</t>
  </si>
  <si>
    <t>FlexiSpot</t>
  </si>
  <si>
    <t>3854</t>
  </si>
  <si>
    <t>renvoyé le 22.10</t>
  </si>
  <si>
    <t>pmt le 15.11 Mme Stach le 22.10</t>
  </si>
  <si>
    <t>240938 (1/2)</t>
  </si>
  <si>
    <t>240938 (2/2)</t>
  </si>
  <si>
    <t>Total CHF 2302.00</t>
  </si>
  <si>
    <t>pmt le 04.11 Mme Perrillat le 22.10</t>
  </si>
  <si>
    <t>pmt le 01.11 Mme Wies le 23.10 / retour marchandise 240937</t>
  </si>
  <si>
    <t>6652387232</t>
  </si>
  <si>
    <t>Import Flexispot 14.10 / Mobika 14.10</t>
  </si>
  <si>
    <t>20073490969</t>
  </si>
  <si>
    <t>652124007304</t>
  </si>
  <si>
    <t>Import Flexispot 3886</t>
  </si>
  <si>
    <t>BOXPLAY SA</t>
  </si>
  <si>
    <t>E-Gestion Léman SA</t>
  </si>
  <si>
    <t>614247</t>
  </si>
  <si>
    <t>OZH2024-036</t>
  </si>
  <si>
    <t>3841</t>
  </si>
  <si>
    <t>005640</t>
  </si>
  <si>
    <t>610793</t>
  </si>
  <si>
    <t>Bricks AG Muri</t>
  </si>
  <si>
    <t>date Winbiz 01.10.2024</t>
  </si>
  <si>
    <t>Ass. 06.11/24-05.11/25 GLS350</t>
  </si>
  <si>
    <t>38500</t>
  </si>
  <si>
    <t>24-1028</t>
  </si>
  <si>
    <t>AK Sols</t>
  </si>
  <si>
    <t>16-18.10</t>
  </si>
  <si>
    <t>26.09</t>
  </si>
  <si>
    <t>Mobilezone AG</t>
  </si>
  <si>
    <t>3842</t>
  </si>
  <si>
    <t>Alliance Consulting</t>
  </si>
  <si>
    <t>en paiement le 23.10 / en attente validation le 17.10 / contacté par GG le 15.10</t>
  </si>
  <si>
    <t>RAPPELS : creditors@avescorent.ch</t>
  </si>
  <si>
    <t>11/2024</t>
  </si>
  <si>
    <t>12/2024</t>
  </si>
  <si>
    <t>02/2025</t>
  </si>
  <si>
    <t>03/2025</t>
  </si>
  <si>
    <t>01/2025</t>
  </si>
  <si>
    <t>en attente le 31.10 selon GG le 29.10 / contacté par GG M Basset le 22.10 / contacté par GG M Basset le 09.10 pmt s42 /contacté par GG le 01.10 / pmt le 13.09 M Basset le 05.09 / pmt le 30.08. M Basset (Colas) le 12.08 (Mahnstopp bis 30.08)</t>
  </si>
  <si>
    <t xml:space="preserve">en attente le 31.10 selon GG le 29.10 /contacté par GG M Pagliuca le 22.10  / contacté par GG le 15.10 / mail à M Pagliuca le 09.10 en cours de validation / contacté par GG le 01.10 / pmt en cours M. Bernard le 11.09 / mail à M. Bernard le 28.08 / appel M. Bernard le 26.08 </t>
  </si>
  <si>
    <t>R20240892</t>
  </si>
  <si>
    <t>3886</t>
  </si>
  <si>
    <t>Jumbo</t>
  </si>
  <si>
    <t>8001369549</t>
  </si>
  <si>
    <t>14987078</t>
  </si>
  <si>
    <t>Import Mades 28.10</t>
  </si>
  <si>
    <t>Coque iPhone GG</t>
  </si>
  <si>
    <t>Moquette pas réceptioné Mme Pop le 29.10</t>
  </si>
  <si>
    <t>renvoyé le 30.10</t>
  </si>
  <si>
    <t>JPF Travaux Spéciaux SA</t>
  </si>
  <si>
    <t>Orllati Real Estate SA</t>
  </si>
  <si>
    <t>6652435576</t>
  </si>
  <si>
    <t>Import Flexispot 23.10</t>
  </si>
  <si>
    <t>4176532</t>
  </si>
  <si>
    <t>3882</t>
  </si>
  <si>
    <t>005655</t>
  </si>
  <si>
    <t>3864/3865/3868/3855/3875</t>
  </si>
  <si>
    <t>Nettoyage 10/24</t>
  </si>
  <si>
    <t>CH06276278</t>
  </si>
  <si>
    <t>Pneus</t>
  </si>
  <si>
    <t>6652418767</t>
  </si>
  <si>
    <t>Import Antares 22.10 / Narbutas 15.10</t>
  </si>
  <si>
    <t>Office World</t>
  </si>
  <si>
    <t>52129924</t>
  </si>
  <si>
    <t>en attente marchandise</t>
  </si>
  <si>
    <t>3905</t>
  </si>
  <si>
    <t>20241101</t>
  </si>
  <si>
    <t>83.25x52.00 + 8</t>
  </si>
  <si>
    <t>en attente Mastercard</t>
  </si>
  <si>
    <t>Armurie Nouvelle Lausannoire SA</t>
  </si>
  <si>
    <t>dos Santos Coelho José Filipe</t>
  </si>
  <si>
    <t>Facture 240621</t>
  </si>
  <si>
    <t>Facture 240937</t>
  </si>
  <si>
    <t>3859/3874/3885/3896/3896/3896/3903</t>
  </si>
  <si>
    <t>68123</t>
  </si>
  <si>
    <t>240874/240957/</t>
  </si>
  <si>
    <t>202418001</t>
  </si>
  <si>
    <t>10/24+</t>
  </si>
  <si>
    <t>FA2410050953</t>
  </si>
  <si>
    <t>Mobika 11.10</t>
  </si>
  <si>
    <t>4176676</t>
  </si>
  <si>
    <t>3902</t>
  </si>
  <si>
    <t xml:space="preserve">Akaze </t>
  </si>
  <si>
    <t>DE243174</t>
  </si>
  <si>
    <t>01759</t>
  </si>
  <si>
    <t>6652455522</t>
  </si>
  <si>
    <t>3900 acompte 50%</t>
  </si>
  <si>
    <t>005677</t>
  </si>
  <si>
    <t>3888/3889/transport</t>
  </si>
  <si>
    <t>2803214468 (1/2)</t>
  </si>
  <si>
    <t>2803214468 (2/2)</t>
  </si>
  <si>
    <t>Gobelets café</t>
  </si>
  <si>
    <t>Dénériaz SA</t>
  </si>
  <si>
    <t>240759</t>
  </si>
  <si>
    <t>OZH2024-041</t>
  </si>
  <si>
    <t>3861</t>
  </si>
  <si>
    <t>pmt le 15.11 / pmt était effectué selon Mme Rau le 07.11</t>
  </si>
  <si>
    <t>18089800</t>
  </si>
  <si>
    <t>Service Mercedes VD629717</t>
  </si>
  <si>
    <t>14993017</t>
  </si>
  <si>
    <t>14993018</t>
  </si>
  <si>
    <t>Import Erik Hartnagel 07.11</t>
  </si>
  <si>
    <t>Import Narbutas 06.11</t>
  </si>
  <si>
    <t>2410424</t>
  </si>
  <si>
    <t>3893</t>
  </si>
  <si>
    <t>pmt le 08.11 selon compta le 08.11</t>
  </si>
  <si>
    <t>pmt le 12.11 Mme Miscevic le 08.11 / chgmt adresse le 21.10</t>
  </si>
  <si>
    <t>615475</t>
  </si>
  <si>
    <t>29-31.10 Tessin</t>
  </si>
  <si>
    <t>en attente SS</t>
  </si>
  <si>
    <t>09.10-01.11 Zakaria</t>
  </si>
  <si>
    <t>617425</t>
  </si>
  <si>
    <t>30.10</t>
  </si>
  <si>
    <t>2105219160</t>
  </si>
  <si>
    <t>Webstamps 10/24</t>
  </si>
  <si>
    <t>2020106077</t>
  </si>
  <si>
    <t>1513723973</t>
  </si>
  <si>
    <t>2024089498</t>
  </si>
  <si>
    <t>11239646</t>
  </si>
  <si>
    <t>14994481</t>
  </si>
  <si>
    <t>Import Narbutas 12.11</t>
  </si>
  <si>
    <t>pmt le 29.11 selon M. Erlbacher le 11.11</t>
  </si>
  <si>
    <t>pmt le 15.11 selon Mme Mille le 13.11</t>
  </si>
  <si>
    <t>S. Facchinetti SA</t>
  </si>
  <si>
    <t>Végétal Tendance Sàrl</t>
  </si>
  <si>
    <t>20073524935</t>
  </si>
  <si>
    <t>25192.001</t>
  </si>
  <si>
    <t>TSM Companie d'Assurances</t>
  </si>
  <si>
    <t>3909</t>
  </si>
  <si>
    <t>Ass. Transport 2025</t>
  </si>
  <si>
    <t>202411000</t>
  </si>
  <si>
    <t>32'300</t>
  </si>
  <si>
    <t>remplace fa 616381</t>
  </si>
  <si>
    <t>617790</t>
  </si>
  <si>
    <t>617873</t>
  </si>
  <si>
    <t>23.10</t>
  </si>
  <si>
    <t>6652497495</t>
  </si>
  <si>
    <t>Import Narbutas 07.11 / Hartnagel 07.11</t>
  </si>
  <si>
    <t>Taux de change Euro</t>
  </si>
  <si>
    <t>en attente Viseca</t>
  </si>
  <si>
    <t>6652509006</t>
  </si>
  <si>
    <t>Import du 11.11 / 12.11</t>
  </si>
  <si>
    <t>14997086</t>
  </si>
  <si>
    <t>Import Mades 14.11</t>
  </si>
  <si>
    <t>remplace fa 462107301</t>
  </si>
  <si>
    <t>462163701</t>
  </si>
  <si>
    <t>RC 2025</t>
  </si>
  <si>
    <t>16.104.916</t>
  </si>
  <si>
    <t>Ass. choses 2025</t>
  </si>
  <si>
    <t>240981 (1/2)</t>
  </si>
  <si>
    <t>240981 (2/2)</t>
  </si>
  <si>
    <t>AK Sols Sàrl</t>
  </si>
  <si>
    <t>ARGE K2</t>
  </si>
  <si>
    <t>CONTAINEX</t>
  </si>
  <si>
    <t>JIMEN SERVICES GENERAUX Sàrl</t>
  </si>
  <si>
    <t>Nasca Formation SA Lausanne</t>
  </si>
  <si>
    <t>241059 (1/2)</t>
  </si>
  <si>
    <t>241059 (2/2)</t>
  </si>
  <si>
    <t>OZH2024-047</t>
  </si>
  <si>
    <t>3891</t>
  </si>
  <si>
    <t>en attente GG</t>
  </si>
  <si>
    <t>005697</t>
  </si>
  <si>
    <t>3892/3894/transport</t>
  </si>
  <si>
    <t>618467</t>
  </si>
  <si>
    <t>12.11</t>
  </si>
  <si>
    <t>LAA 2025</t>
  </si>
  <si>
    <t>LAAC 2025</t>
  </si>
  <si>
    <t>en attente AP</t>
  </si>
  <si>
    <t>TMR Camionnage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</si>
</sst>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000"/>
    <numFmt numFmtId="166" formatCode="0.000000"/>
    <numFmt numFmtId="167" formatCode="dd/mm/yyyy;@"/>
  </numFmts>
  <fonts count="5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2" tint="-0.249977111117893"/>
      <name val="Calibri"/>
      <family val="2"/>
      <scheme val="minor"/>
    </font>
    <font>
      <b/>
      <sz val="9"/>
      <color theme="2" tint="-0.249977111117893"/>
      <name val="Calibri"/>
      <family val="2"/>
      <scheme val="minor"/>
    </font>
    <font>
      <b/>
      <i/>
      <sz val="9"/>
      <color theme="2" tint="-0.249977111117893"/>
      <name val="Calibri"/>
      <family val="2"/>
      <scheme val="minor"/>
    </font>
    <font>
      <sz val="9"/>
      <color theme="2" tint="-9.9978637043366805E-2"/>
      <name val="Calibri"/>
      <family val="2"/>
      <scheme val="minor"/>
    </font>
    <font>
      <i/>
      <sz val="9"/>
      <color theme="2" tint="-9.9978637043366805E-2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2" tint="-9.9978637043366805E-2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7" tint="-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  <font>
      <u/>
      <sz val="11"/>
      <color rgb="FF0070C0"/>
      <name val="Calibri"/>
      <family val="2"/>
      <scheme val="minor"/>
    </font>
    <font>
      <sz val="11"/>
      <color theme="1"/>
      <name val="Aptos"/>
      <family val="2"/>
    </font>
    <font>
      <b/>
      <sz val="9"/>
      <color theme="2" tint="-0.499984740745262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i/>
      <sz val="7"/>
      <color rgb="FFFF0000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46" fillId="0" borderId="0"/>
  </cellStyleXfs>
  <cellXfs count="523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2" fontId="0" fillId="0" borderId="0" xfId="0" applyNumberFormat="1" applyFont="1"/>
    <xf numFmtId="49" fontId="0" fillId="0" borderId="0" xfId="0" applyNumberFormat="1" applyFont="1" applyFill="1"/>
    <xf numFmtId="164" fontId="9" fillId="0" borderId="0" xfId="0" applyNumberFormat="1" applyFont="1" applyFill="1" applyAlignment="1">
      <alignment horizontal="left"/>
    </xf>
    <xf numFmtId="4" fontId="0" fillId="0" borderId="0" xfId="0" applyNumberFormat="1"/>
    <xf numFmtId="49" fontId="0" fillId="0" borderId="0" xfId="0" applyNumberFormat="1" applyFont="1" applyFill="1" applyAlignment="1">
      <alignment horizontal="left"/>
    </xf>
    <xf numFmtId="0" fontId="2" fillId="0" borderId="2" xfId="0" applyFont="1" applyBorder="1"/>
    <xf numFmtId="2" fontId="2" fillId="0" borderId="0" xfId="0" applyNumberFormat="1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center"/>
    </xf>
    <xf numFmtId="0" fontId="1" fillId="0" borderId="0" xfId="0" applyFont="1"/>
    <xf numFmtId="1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left"/>
    </xf>
    <xf numFmtId="49" fontId="0" fillId="2" borderId="0" xfId="0" applyNumberFormat="1" applyFont="1" applyFill="1"/>
    <xf numFmtId="14" fontId="0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165" fontId="11" fillId="0" borderId="0" xfId="0" applyNumberFormat="1" applyFont="1"/>
    <xf numFmtId="2" fontId="12" fillId="0" borderId="0" xfId="0" applyNumberFormat="1" applyFont="1"/>
    <xf numFmtId="2" fontId="11" fillId="0" borderId="0" xfId="0" applyNumberFormat="1" applyFont="1" applyFill="1"/>
    <xf numFmtId="165" fontId="11" fillId="0" borderId="0" xfId="0" applyNumberFormat="1" applyFont="1" applyFill="1"/>
    <xf numFmtId="2" fontId="12" fillId="0" borderId="0" xfId="0" applyNumberFormat="1" applyFont="1" applyFill="1"/>
    <xf numFmtId="165" fontId="11" fillId="0" borderId="0" xfId="0" applyNumberFormat="1" applyFont="1" applyFill="1" applyBorder="1"/>
    <xf numFmtId="2" fontId="12" fillId="0" borderId="0" xfId="0" applyNumberFormat="1" applyFont="1" applyFill="1" applyBorder="1"/>
    <xf numFmtId="14" fontId="14" fillId="0" borderId="0" xfId="0" applyNumberFormat="1" applyFont="1" applyFill="1" applyAlignment="1">
      <alignment horizontal="center"/>
    </xf>
    <xf numFmtId="14" fontId="14" fillId="0" borderId="0" xfId="0" applyNumberFormat="1" applyFont="1" applyFill="1" applyAlignment="1">
      <alignment horizontal="left"/>
    </xf>
    <xf numFmtId="165" fontId="15" fillId="0" borderId="0" xfId="0" applyNumberFormat="1" applyFont="1" applyFill="1"/>
    <xf numFmtId="2" fontId="16" fillId="0" borderId="0" xfId="0" applyNumberFormat="1" applyFont="1" applyFill="1"/>
    <xf numFmtId="0" fontId="14" fillId="0" borderId="0" xfId="0" applyFont="1"/>
    <xf numFmtId="14" fontId="2" fillId="0" borderId="4" xfId="0" applyNumberFormat="1" applyFont="1" applyBorder="1"/>
    <xf numFmtId="4" fontId="0" fillId="0" borderId="3" xfId="0" applyNumberFormat="1" applyBorder="1"/>
    <xf numFmtId="0" fontId="0" fillId="0" borderId="3" xfId="0" applyBorder="1"/>
    <xf numFmtId="49" fontId="2" fillId="3" borderId="0" xfId="0" applyNumberFormat="1" applyFont="1" applyFill="1" applyAlignment="1">
      <alignment horizontal="left"/>
    </xf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49" fontId="2" fillId="3" borderId="0" xfId="0" applyNumberFormat="1" applyFont="1" applyFill="1"/>
    <xf numFmtId="2" fontId="18" fillId="0" borderId="0" xfId="0" applyNumberFormat="1" applyFont="1" applyFill="1"/>
    <xf numFmtId="0" fontId="18" fillId="0" borderId="0" xfId="0" applyFont="1"/>
    <xf numFmtId="14" fontId="18" fillId="0" borderId="0" xfId="0" applyNumberFormat="1" applyFont="1" applyAlignment="1">
      <alignment horizontal="center"/>
    </xf>
    <xf numFmtId="2" fontId="18" fillId="0" borderId="0" xfId="0" applyNumberFormat="1" applyFont="1" applyFill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/>
    <xf numFmtId="49" fontId="22" fillId="0" borderId="0" xfId="0" applyNumberFormat="1" applyFont="1" applyAlignment="1">
      <alignment horizontal="left"/>
    </xf>
    <xf numFmtId="4" fontId="22" fillId="0" borderId="0" xfId="0" applyNumberFormat="1" applyFont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/>
    </xf>
    <xf numFmtId="1" fontId="5" fillId="0" borderId="1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49" fontId="8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2" fontId="24" fillId="0" borderId="0" xfId="0" applyNumberFormat="1" applyFont="1"/>
    <xf numFmtId="2" fontId="24" fillId="0" borderId="1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horizontal="left"/>
    </xf>
    <xf numFmtId="164" fontId="24" fillId="0" borderId="1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/>
    <xf numFmtId="164" fontId="24" fillId="0" borderId="0" xfId="0" applyNumberFormat="1" applyFont="1" applyFill="1" applyAlignment="1">
      <alignment horizontal="left"/>
    </xf>
    <xf numFmtId="2" fontId="24" fillId="0" borderId="0" xfId="0" applyNumberFormat="1" applyFont="1" applyFill="1" applyBorder="1"/>
    <xf numFmtId="164" fontId="24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/>
    <xf numFmtId="164" fontId="6" fillId="0" borderId="0" xfId="0" applyNumberFormat="1" applyFont="1" applyFill="1" applyAlignment="1">
      <alignment horizontal="left"/>
    </xf>
    <xf numFmtId="164" fontId="13" fillId="3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center"/>
    </xf>
    <xf numFmtId="165" fontId="1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 applyAlignment="1">
      <alignment horizontal="left"/>
    </xf>
    <xf numFmtId="2" fontId="2" fillId="0" borderId="0" xfId="0" applyNumberFormat="1" applyFont="1" applyFill="1" applyAlignment="1">
      <alignment horizontal="right"/>
    </xf>
    <xf numFmtId="49" fontId="7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4" fontId="27" fillId="0" borderId="0" xfId="0" applyNumberFormat="1" applyFont="1" applyAlignment="1">
      <alignment horizontal="left"/>
    </xf>
    <xf numFmtId="2" fontId="2" fillId="0" borderId="0" xfId="0" applyNumberFormat="1" applyFont="1"/>
    <xf numFmtId="2" fontId="3" fillId="0" borderId="0" xfId="0" applyNumberFormat="1" applyFont="1" applyFill="1"/>
    <xf numFmtId="4" fontId="0" fillId="0" borderId="0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49" fontId="2" fillId="0" borderId="0" xfId="0" applyNumberFormat="1" applyFont="1"/>
    <xf numFmtId="164" fontId="29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right"/>
    </xf>
    <xf numFmtId="1" fontId="0" fillId="0" borderId="0" xfId="0" applyNumberFormat="1" applyFont="1"/>
    <xf numFmtId="1" fontId="17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right"/>
    </xf>
    <xf numFmtId="4" fontId="2" fillId="0" borderId="0" xfId="0" applyNumberFormat="1" applyFont="1" applyBorder="1" applyAlignment="1">
      <alignment horizontal="right"/>
    </xf>
    <xf numFmtId="2" fontId="27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left"/>
    </xf>
    <xf numFmtId="1" fontId="2" fillId="0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center"/>
    </xf>
    <xf numFmtId="2" fontId="32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49" fontId="32" fillId="0" borderId="0" xfId="0" applyNumberFormat="1" applyFont="1"/>
    <xf numFmtId="2" fontId="32" fillId="0" borderId="1" xfId="0" applyNumberFormat="1" applyFont="1" applyFill="1" applyBorder="1" applyAlignment="1">
      <alignment horizontal="center" vertical="center" wrapText="1"/>
    </xf>
    <xf numFmtId="2" fontId="33" fillId="3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4" fillId="3" borderId="0" xfId="0" applyNumberFormat="1" applyFont="1" applyFill="1" applyAlignment="1">
      <alignment horizontal="center"/>
    </xf>
    <xf numFmtId="0" fontId="29" fillId="0" borderId="0" xfId="0" applyFont="1"/>
    <xf numFmtId="2" fontId="35" fillId="0" borderId="1" xfId="0" applyNumberFormat="1" applyFont="1" applyFill="1" applyBorder="1" applyAlignment="1">
      <alignment horizontal="center" vertical="center" wrapText="1"/>
    </xf>
    <xf numFmtId="2" fontId="35" fillId="0" borderId="0" xfId="0" applyNumberFormat="1" applyFont="1"/>
    <xf numFmtId="2" fontId="35" fillId="0" borderId="0" xfId="0" applyNumberFormat="1" applyFont="1" applyFill="1"/>
    <xf numFmtId="2" fontId="35" fillId="0" borderId="0" xfId="0" applyNumberFormat="1" applyFont="1" applyFill="1" applyBorder="1"/>
    <xf numFmtId="0" fontId="35" fillId="0" borderId="0" xfId="0" applyFont="1"/>
    <xf numFmtId="0" fontId="36" fillId="0" borderId="0" xfId="0" applyFont="1"/>
    <xf numFmtId="49" fontId="3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center"/>
    </xf>
    <xf numFmtId="2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 applyBorder="1" applyAlignment="1">
      <alignment horizontal="center"/>
    </xf>
    <xf numFmtId="4" fontId="0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9" fontId="0" fillId="0" borderId="0" xfId="0" applyNumberFormat="1" applyFont="1" applyFill="1"/>
    <xf numFmtId="49" fontId="0" fillId="0" borderId="0" xfId="0" applyNumberFormat="1" applyFont="1" applyFill="1" applyAlignment="1">
      <alignment horizontal="left"/>
    </xf>
    <xf numFmtId="14" fontId="2" fillId="0" borderId="2" xfId="0" applyNumberFormat="1" applyFont="1" applyBorder="1"/>
    <xf numFmtId="2" fontId="2" fillId="0" borderId="0" xfId="0" applyNumberFormat="1" applyFont="1" applyFill="1"/>
    <xf numFmtId="0" fontId="0" fillId="0" borderId="0" xfId="0" applyFont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/>
    <xf numFmtId="49" fontId="14" fillId="0" borderId="0" xfId="0" applyNumberFormat="1" applyFont="1" applyFill="1" applyAlignment="1">
      <alignment horizontal="left"/>
    </xf>
    <xf numFmtId="49" fontId="14" fillId="0" borderId="0" xfId="0" applyNumberFormat="1" applyFont="1" applyFill="1"/>
    <xf numFmtId="49" fontId="22" fillId="0" borderId="0" xfId="0" applyNumberFormat="1" applyFont="1" applyAlignment="1">
      <alignment horizontal="left"/>
    </xf>
    <xf numFmtId="4" fontId="22" fillId="0" borderId="0" xfId="0" applyNumberFormat="1" applyFont="1" applyBorder="1" applyAlignment="1">
      <alignment horizontal="right"/>
    </xf>
    <xf numFmtId="2" fontId="23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26" fillId="0" borderId="0" xfId="0" applyNumberFormat="1" applyFont="1" applyFill="1"/>
    <xf numFmtId="164" fontId="0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right"/>
    </xf>
    <xf numFmtId="4" fontId="0" fillId="0" borderId="0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49" fontId="2" fillId="0" borderId="0" xfId="0" applyNumberFormat="1" applyFont="1"/>
    <xf numFmtId="2" fontId="33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35" fillId="0" borderId="0" xfId="0" applyFont="1"/>
    <xf numFmtId="2" fontId="0" fillId="0" borderId="0" xfId="0" applyNumberFormat="1"/>
    <xf numFmtId="49" fontId="0" fillId="0" borderId="0" xfId="0" applyNumberFormat="1" applyFont="1" applyFill="1"/>
    <xf numFmtId="164" fontId="9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0" fontId="0" fillId="0" borderId="0" xfId="0" applyFont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2" fontId="12" fillId="0" borderId="0" xfId="0" applyNumberFormat="1" applyFont="1" applyFill="1"/>
    <xf numFmtId="1" fontId="5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center"/>
    </xf>
    <xf numFmtId="2" fontId="24" fillId="0" borderId="0" xfId="0" applyNumberFormat="1" applyFont="1" applyFill="1"/>
    <xf numFmtId="164" fontId="24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49" fontId="37" fillId="0" borderId="0" xfId="0" applyNumberFormat="1" applyFont="1" applyAlignment="1">
      <alignment horizontal="left"/>
    </xf>
    <xf numFmtId="4" fontId="37" fillId="0" borderId="0" xfId="0" applyNumberFormat="1" applyFont="1" applyBorder="1" applyAlignment="1">
      <alignment horizontal="right"/>
    </xf>
    <xf numFmtId="14" fontId="2" fillId="0" borderId="0" xfId="0" applyNumberFormat="1" applyFont="1" applyFill="1" applyAlignment="1">
      <alignment horizontal="right"/>
    </xf>
    <xf numFmtId="49" fontId="3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35" fillId="0" borderId="0" xfId="0" applyNumberFormat="1" applyFont="1"/>
    <xf numFmtId="49" fontId="40" fillId="0" borderId="0" xfId="0" applyNumberFormat="1" applyFont="1"/>
    <xf numFmtId="0" fontId="35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/>
    <xf numFmtId="49" fontId="41" fillId="0" borderId="0" xfId="0" applyNumberFormat="1" applyFont="1"/>
    <xf numFmtId="1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4" fontId="5" fillId="0" borderId="0" xfId="0" applyNumberFormat="1" applyFont="1" applyAlignment="1">
      <alignment horizontal="left"/>
    </xf>
    <xf numFmtId="49" fontId="40" fillId="0" borderId="0" xfId="0" applyNumberFormat="1" applyFont="1" applyAlignment="1">
      <alignment horizontal="left"/>
    </xf>
    <xf numFmtId="0" fontId="42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left"/>
    </xf>
    <xf numFmtId="49" fontId="1" fillId="0" borderId="0" xfId="0" applyNumberFormat="1" applyFont="1"/>
    <xf numFmtId="4" fontId="1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2" fontId="1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42" fillId="0" borderId="1" xfId="0" applyNumberFormat="1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44" fillId="0" borderId="1" xfId="0" applyNumberFormat="1" applyFont="1" applyBorder="1" applyAlignment="1">
      <alignment horizontal="right" vertical="center" wrapText="1"/>
    </xf>
    <xf numFmtId="4" fontId="4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39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5" fillId="0" borderId="1" xfId="0" applyNumberFormat="1" applyFont="1" applyBorder="1"/>
    <xf numFmtId="49" fontId="40" fillId="0" borderId="1" xfId="0" applyNumberFormat="1" applyFont="1" applyBorder="1" applyAlignment="1">
      <alignment horizontal="left"/>
    </xf>
    <xf numFmtId="2" fontId="35" fillId="0" borderId="1" xfId="0" applyNumberFormat="1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/>
    <xf numFmtId="1" fontId="0" fillId="0" borderId="1" xfId="0" applyNumberFormat="1" applyBorder="1" applyAlignment="1">
      <alignment horizontal="left"/>
    </xf>
    <xf numFmtId="0" fontId="46" fillId="0" borderId="1" xfId="2" applyBorder="1" applyAlignment="1">
      <alignment horizontal="left"/>
    </xf>
    <xf numFmtId="0" fontId="46" fillId="0" borderId="1" xfId="2" applyBorder="1"/>
    <xf numFmtId="14" fontId="46" fillId="0" borderId="1" xfId="2" applyNumberForma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47" fillId="0" borderId="1" xfId="1" applyFont="1" applyBorder="1"/>
    <xf numFmtId="49" fontId="1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center"/>
    </xf>
    <xf numFmtId="2" fontId="42" fillId="3" borderId="0" xfId="0" applyNumberFormat="1" applyFont="1" applyFill="1"/>
    <xf numFmtId="1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  <xf numFmtId="0" fontId="0" fillId="0" borderId="1" xfId="0" applyNumberFormat="1" applyBorder="1" applyAlignment="1">
      <alignment horizontal="left"/>
    </xf>
    <xf numFmtId="14" fontId="2" fillId="5" borderId="0" xfId="0" applyNumberFormat="1" applyFont="1" applyFill="1" applyAlignment="1">
      <alignment horizontal="right"/>
    </xf>
    <xf numFmtId="4" fontId="0" fillId="0" borderId="0" xfId="0" applyNumberFormat="1" applyFont="1" applyAlignment="1">
      <alignment horizontal="left"/>
    </xf>
    <xf numFmtId="1" fontId="0" fillId="0" borderId="1" xfId="0" applyNumberFormat="1" applyFill="1" applyBorder="1" applyAlignment="1">
      <alignment horizontal="center"/>
    </xf>
    <xf numFmtId="2" fontId="39" fillId="0" borderId="0" xfId="0" applyNumberFormat="1" applyFont="1" applyAlignment="1">
      <alignment horizontal="center"/>
    </xf>
    <xf numFmtId="4" fontId="3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2" fontId="50" fillId="0" borderId="0" xfId="0" applyNumberFormat="1" applyFont="1" applyAlignment="1">
      <alignment horizontal="right"/>
    </xf>
    <xf numFmtId="1" fontId="50" fillId="0" borderId="0" xfId="0" applyNumberFormat="1" applyFont="1" applyAlignment="1">
      <alignment horizontal="right"/>
    </xf>
    <xf numFmtId="2" fontId="51" fillId="0" borderId="0" xfId="0" applyNumberFormat="1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2" fontId="52" fillId="0" borderId="0" xfId="0" applyNumberFormat="1" applyFont="1"/>
    <xf numFmtId="2" fontId="50" fillId="0" borderId="0" xfId="0" applyNumberFormat="1" applyFont="1" applyFill="1" applyAlignment="1">
      <alignment horizontal="right"/>
    </xf>
    <xf numFmtId="1" fontId="51" fillId="0" borderId="0" xfId="0" applyNumberFormat="1" applyFont="1" applyAlignment="1">
      <alignment horizontal="right"/>
    </xf>
    <xf numFmtId="2" fontId="50" fillId="0" borderId="1" xfId="0" applyNumberFormat="1" applyFont="1" applyFill="1" applyBorder="1" applyAlignment="1">
      <alignment horizontal="right" vertical="center" wrapText="1"/>
    </xf>
    <xf numFmtId="1" fontId="50" fillId="0" borderId="1" xfId="0" applyNumberFormat="1" applyFont="1" applyFill="1" applyBorder="1" applyAlignment="1">
      <alignment horizontal="right" vertical="center" wrapText="1"/>
    </xf>
    <xf numFmtId="2" fontId="50" fillId="0" borderId="0" xfId="0" applyNumberFormat="1" applyFont="1" applyFill="1" applyBorder="1" applyAlignment="1">
      <alignment horizontal="right"/>
    </xf>
    <xf numFmtId="1" fontId="50" fillId="0" borderId="0" xfId="0" applyNumberFormat="1" applyFont="1" applyFill="1" applyAlignment="1">
      <alignment horizontal="right"/>
    </xf>
    <xf numFmtId="2" fontId="51" fillId="3" borderId="0" xfId="0" applyNumberFormat="1" applyFont="1" applyFill="1"/>
    <xf numFmtId="1" fontId="51" fillId="3" borderId="0" xfId="0" applyNumberFormat="1" applyFont="1" applyFill="1" applyAlignment="1">
      <alignment horizontal="right"/>
    </xf>
    <xf numFmtId="2" fontId="2" fillId="0" borderId="1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/>
    <xf numFmtId="2" fontId="24" fillId="0" borderId="0" xfId="0" applyNumberFormat="1" applyFont="1" applyBorder="1" applyAlignment="1">
      <alignment horizontal="right"/>
    </xf>
    <xf numFmtId="0" fontId="53" fillId="0" borderId="0" xfId="0" applyFont="1" applyBorder="1"/>
    <xf numFmtId="0" fontId="53" fillId="0" borderId="0" xfId="0" applyFont="1"/>
    <xf numFmtId="2" fontId="24" fillId="0" borderId="0" xfId="0" applyNumberFormat="1" applyFont="1" applyAlignment="1">
      <alignment horizontal="right"/>
    </xf>
    <xf numFmtId="0" fontId="24" fillId="0" borderId="0" xfId="0" applyFont="1"/>
    <xf numFmtId="2" fontId="13" fillId="3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right"/>
    </xf>
    <xf numFmtId="165" fontId="24" fillId="0" borderId="0" xfId="0" applyNumberFormat="1" applyFont="1" applyFill="1"/>
    <xf numFmtId="0" fontId="54" fillId="0" borderId="0" xfId="0" applyFont="1" applyFill="1"/>
    <xf numFmtId="1" fontId="24" fillId="0" borderId="0" xfId="0" applyNumberFormat="1" applyFont="1" applyFill="1" applyAlignment="1">
      <alignment horizontal="right"/>
    </xf>
    <xf numFmtId="2" fontId="2" fillId="3" borderId="0" xfId="0" applyNumberFormat="1" applyFont="1" applyFill="1"/>
    <xf numFmtId="165" fontId="24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2" fontId="19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4" fontId="2" fillId="0" borderId="0" xfId="0" applyNumberFormat="1" applyFont="1"/>
    <xf numFmtId="2" fontId="14" fillId="0" borderId="0" xfId="0" applyNumberFormat="1" applyFont="1"/>
    <xf numFmtId="4" fontId="14" fillId="0" borderId="0" xfId="0" applyNumberFormat="1" applyFont="1" applyBorder="1" applyAlignment="1">
      <alignment horizontal="right"/>
    </xf>
    <xf numFmtId="4" fontId="14" fillId="0" borderId="0" xfId="0" applyNumberFormat="1" applyFont="1"/>
    <xf numFmtId="2" fontId="39" fillId="0" borderId="5" xfId="0" applyNumberFormat="1" applyFont="1" applyBorder="1" applyAlignment="1">
      <alignment horizontal="center" wrapText="1"/>
    </xf>
    <xf numFmtId="0" fontId="42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23" fillId="0" borderId="0" xfId="0" applyNumberFormat="1" applyFont="1"/>
    <xf numFmtId="4" fontId="23" fillId="0" borderId="0" xfId="0" applyNumberFormat="1" applyFont="1" applyBorder="1" applyAlignment="1">
      <alignment horizontal="right"/>
    </xf>
    <xf numFmtId="4" fontId="23" fillId="0" borderId="0" xfId="0" applyNumberFormat="1" applyFont="1"/>
    <xf numFmtId="1" fontId="6" fillId="0" borderId="0" xfId="0" applyNumberFormat="1" applyFont="1" applyFill="1" applyAlignment="1">
      <alignment horizontal="left"/>
    </xf>
    <xf numFmtId="1" fontId="0" fillId="6" borderId="1" xfId="0" applyNumberForma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0" fillId="0" borderId="6" xfId="0" applyNumberFormat="1" applyBorder="1" applyAlignment="1">
      <alignment horizontal="left"/>
    </xf>
    <xf numFmtId="49" fontId="39" fillId="0" borderId="6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left"/>
    </xf>
    <xf numFmtId="14" fontId="0" fillId="0" borderId="6" xfId="0" applyNumberFormat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49" fontId="40" fillId="0" borderId="6" xfId="0" applyNumberFormat="1" applyFont="1" applyBorder="1" applyAlignment="1">
      <alignment horizontal="left"/>
    </xf>
    <xf numFmtId="167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1" fontId="0" fillId="0" borderId="6" xfId="0" applyNumberFormat="1" applyFont="1" applyFill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left"/>
    </xf>
    <xf numFmtId="4" fontId="0" fillId="0" borderId="6" xfId="0" applyNumberFormat="1" applyFont="1" applyBorder="1" applyAlignment="1"/>
    <xf numFmtId="14" fontId="35" fillId="0" borderId="6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0" fontId="0" fillId="0" borderId="0" xfId="0" applyFont="1" applyFill="1"/>
    <xf numFmtId="165" fontId="2" fillId="0" borderId="0" xfId="0" applyNumberFormat="1" applyFont="1" applyFill="1"/>
    <xf numFmtId="0" fontId="18" fillId="0" borderId="0" xfId="0" applyFont="1" applyFill="1"/>
    <xf numFmtId="4" fontId="27" fillId="0" borderId="1" xfId="0" applyNumberFormat="1" applyFont="1" applyBorder="1" applyAlignment="1">
      <alignment horizontal="right"/>
    </xf>
    <xf numFmtId="0" fontId="0" fillId="0" borderId="7" xfId="0" applyNumberFormat="1" applyBorder="1" applyAlignment="1">
      <alignment horizontal="left"/>
    </xf>
    <xf numFmtId="49" fontId="39" fillId="0" borderId="7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left"/>
    </xf>
    <xf numFmtId="14" fontId="0" fillId="0" borderId="7" xfId="0" applyNumberForma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167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/>
    <xf numFmtId="1" fontId="0" fillId="0" borderId="7" xfId="0" applyNumberFormat="1" applyFont="1" applyFill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4" fontId="0" fillId="0" borderId="7" xfId="0" applyNumberFormat="1" applyFont="1" applyBorder="1" applyAlignment="1"/>
    <xf numFmtId="49" fontId="0" fillId="0" borderId="7" xfId="0" applyNumberFormat="1" applyFont="1" applyBorder="1" applyAlignment="1">
      <alignment horizontal="left"/>
    </xf>
    <xf numFmtId="2" fontId="39" fillId="0" borderId="1" xfId="0" applyNumberFormat="1" applyFont="1" applyFill="1" applyBorder="1" applyAlignment="1">
      <alignment horizontal="center"/>
    </xf>
    <xf numFmtId="2" fontId="17" fillId="0" borderId="0" xfId="0" applyNumberFormat="1" applyFont="1" applyAlignment="1">
      <alignment horizontal="right"/>
    </xf>
    <xf numFmtId="2" fontId="30" fillId="0" borderId="0" xfId="0" applyNumberFormat="1" applyFont="1" applyAlignment="1">
      <alignment horizontal="right"/>
    </xf>
    <xf numFmtId="164" fontId="24" fillId="0" borderId="1" xfId="0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 applyAlignment="1">
      <alignment horizontal="right"/>
    </xf>
    <xf numFmtId="2" fontId="24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2" fontId="13" fillId="3" borderId="0" xfId="0" applyNumberFormat="1" applyFont="1" applyFill="1" applyAlignment="1">
      <alignment horizontal="right"/>
    </xf>
    <xf numFmtId="2" fontId="39" fillId="0" borderId="6" xfId="0" applyNumberFormat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left"/>
    </xf>
    <xf numFmtId="167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/>
    <xf numFmtId="1" fontId="14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/>
    <xf numFmtId="0" fontId="0" fillId="0" borderId="0" xfId="0" applyFill="1"/>
    <xf numFmtId="0" fontId="0" fillId="0" borderId="1" xfId="0" applyNumberForma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4" fontId="0" fillId="0" borderId="1" xfId="0" applyNumberFormat="1" applyFont="1" applyFill="1" applyBorder="1" applyAlignment="1"/>
    <xf numFmtId="2" fontId="32" fillId="0" borderId="0" xfId="0" applyNumberFormat="1" applyFont="1" applyFill="1" applyAlignment="1">
      <alignment horizontal="center"/>
    </xf>
    <xf numFmtId="0" fontId="0" fillId="0" borderId="8" xfId="0" applyNumberFormat="1" applyBorder="1" applyAlignment="1">
      <alignment horizontal="left"/>
    </xf>
    <xf numFmtId="2" fontId="39" fillId="0" borderId="8" xfId="0" applyNumberFormat="1" applyFont="1" applyFill="1" applyBorder="1" applyAlignment="1">
      <alignment horizontal="center"/>
    </xf>
    <xf numFmtId="1" fontId="0" fillId="0" borderId="8" xfId="0" applyNumberFormat="1" applyFont="1" applyBorder="1" applyAlignment="1">
      <alignment horizontal="left"/>
    </xf>
    <xf numFmtId="14" fontId="0" fillId="0" borderId="8" xfId="0" applyNumberForma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9" fontId="40" fillId="0" borderId="7" xfId="0" applyNumberFormat="1" applyFont="1" applyBorder="1" applyAlignment="1">
      <alignment horizontal="left"/>
    </xf>
    <xf numFmtId="14" fontId="35" fillId="0" borderId="8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/>
    <xf numFmtId="1" fontId="0" fillId="0" borderId="8" xfId="0" applyNumberFormat="1" applyFont="1" applyFill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4" fontId="0" fillId="0" borderId="8" xfId="0" applyNumberFormat="1" applyFont="1" applyBorder="1" applyAlignment="1"/>
    <xf numFmtId="17" fontId="0" fillId="0" borderId="0" xfId="0" applyNumberFormat="1"/>
    <xf numFmtId="1" fontId="0" fillId="0" borderId="6" xfId="0" applyNumberFormat="1" applyFont="1" applyFill="1" applyBorder="1" applyAlignment="1">
      <alignment horizontal="left"/>
    </xf>
    <xf numFmtId="14" fontId="35" fillId="0" borderId="1" xfId="0" applyNumberFormat="1" applyFont="1" applyFill="1" applyBorder="1" applyAlignment="1">
      <alignment horizontal="center"/>
    </xf>
    <xf numFmtId="0" fontId="0" fillId="0" borderId="0" xfId="0" applyBorder="1"/>
    <xf numFmtId="4" fontId="35" fillId="0" borderId="1" xfId="0" applyNumberFormat="1" applyFont="1" applyBorder="1" applyAlignment="1"/>
    <xf numFmtId="4" fontId="14" fillId="0" borderId="1" xfId="0" applyNumberFormat="1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4" fontId="0" fillId="0" borderId="0" xfId="0" applyNumberFormat="1" applyBorder="1"/>
    <xf numFmtId="2" fontId="39" fillId="0" borderId="5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right"/>
    </xf>
    <xf numFmtId="1" fontId="28" fillId="3" borderId="0" xfId="0" applyNumberFormat="1" applyFont="1" applyFill="1" applyAlignment="1">
      <alignment horizontal="left"/>
    </xf>
    <xf numFmtId="4" fontId="35" fillId="0" borderId="6" xfId="0" applyNumberFormat="1" applyFont="1" applyBorder="1" applyAlignment="1"/>
    <xf numFmtId="2" fontId="1" fillId="0" borderId="0" xfId="0" applyNumberFormat="1" applyFont="1" applyAlignment="1">
      <alignment horizontal="left"/>
    </xf>
    <xf numFmtId="4" fontId="35" fillId="0" borderId="6" xfId="0" applyNumberFormat="1" applyFont="1" applyBorder="1"/>
    <xf numFmtId="2" fontId="39" fillId="0" borderId="1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49" fontId="39" fillId="0" borderId="8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left"/>
    </xf>
    <xf numFmtId="4" fontId="35" fillId="0" borderId="8" xfId="0" applyNumberFormat="1" applyFont="1" applyBorder="1"/>
    <xf numFmtId="49" fontId="40" fillId="0" borderId="8" xfId="0" applyNumberFormat="1" applyFont="1" applyBorder="1" applyAlignment="1">
      <alignment horizontal="left"/>
    </xf>
    <xf numFmtId="1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left"/>
    </xf>
    <xf numFmtId="4" fontId="0" fillId="0" borderId="8" xfId="0" applyNumberFormat="1" applyBorder="1"/>
    <xf numFmtId="49" fontId="0" fillId="0" borderId="8" xfId="0" applyNumberFormat="1" applyFont="1" applyBorder="1" applyAlignment="1">
      <alignment horizontal="left"/>
    </xf>
    <xf numFmtId="1" fontId="0" fillId="0" borderId="7" xfId="0" applyNumberFormat="1" applyBorder="1" applyAlignment="1">
      <alignment horizontal="left"/>
    </xf>
    <xf numFmtId="14" fontId="35" fillId="0" borderId="7" xfId="0" applyNumberFormat="1" applyFont="1" applyBorder="1" applyAlignment="1">
      <alignment horizontal="center"/>
    </xf>
    <xf numFmtId="0" fontId="0" fillId="0" borderId="8" xfId="0" applyNumberFormat="1" applyFill="1" applyBorder="1" applyAlignment="1">
      <alignment horizontal="left"/>
    </xf>
    <xf numFmtId="1" fontId="0" fillId="0" borderId="8" xfId="0" applyNumberFormat="1" applyFont="1" applyFill="1" applyBorder="1" applyAlignment="1">
      <alignment horizontal="left"/>
    </xf>
    <xf numFmtId="14" fontId="0" fillId="0" borderId="8" xfId="0" applyNumberFormat="1" applyFill="1" applyBorder="1" applyAlignment="1">
      <alignment horizontal="right"/>
    </xf>
    <xf numFmtId="4" fontId="0" fillId="0" borderId="8" xfId="0" applyNumberFormat="1" applyFont="1" applyFill="1" applyBorder="1" applyAlignment="1">
      <alignment horizontal="right"/>
    </xf>
    <xf numFmtId="167" fontId="2" fillId="0" borderId="8" xfId="0" applyNumberFormat="1" applyFont="1" applyFill="1" applyBorder="1" applyAlignment="1">
      <alignment horizontal="center"/>
    </xf>
    <xf numFmtId="49" fontId="2" fillId="0" borderId="8" xfId="0" applyNumberFormat="1" applyFont="1" applyFill="1" applyBorder="1"/>
    <xf numFmtId="49" fontId="0" fillId="0" borderId="8" xfId="0" applyNumberFormat="1" applyFont="1" applyFill="1" applyBorder="1" applyAlignment="1">
      <alignment horizontal="left"/>
    </xf>
    <xf numFmtId="4" fontId="0" fillId="0" borderId="8" xfId="0" applyNumberFormat="1" applyFont="1" applyFill="1" applyBorder="1" applyAlignment="1"/>
    <xf numFmtId="2" fontId="39" fillId="0" borderId="7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left"/>
    </xf>
    <xf numFmtId="4" fontId="0" fillId="0" borderId="7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center"/>
    </xf>
    <xf numFmtId="4" fontId="35" fillId="0" borderId="8" xfId="0" applyNumberFormat="1" applyFont="1" applyBorder="1" applyAlignment="1"/>
    <xf numFmtId="2" fontId="39" fillId="0" borderId="8" xfId="0" applyNumberFormat="1" applyFont="1" applyBorder="1" applyAlignment="1">
      <alignment horizontal="center"/>
    </xf>
    <xf numFmtId="14" fontId="35" fillId="0" borderId="8" xfId="0" applyNumberFormat="1" applyFont="1" applyFill="1" applyBorder="1" applyAlignment="1">
      <alignment horizontal="center"/>
    </xf>
    <xf numFmtId="1" fontId="24" fillId="0" borderId="0" xfId="0" applyNumberFormat="1" applyFont="1" applyFill="1" applyAlignment="1">
      <alignment horizontal="left"/>
    </xf>
    <xf numFmtId="49" fontId="0" fillId="0" borderId="0" xfId="0" applyNumberFormat="1" applyFont="1" applyFill="1"/>
    <xf numFmtId="4" fontId="0" fillId="0" borderId="0" xfId="0" applyNumberFormat="1"/>
    <xf numFmtId="49" fontId="0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49" fontId="0" fillId="2" borderId="0" xfId="0" applyNumberFormat="1" applyFont="1" applyFill="1"/>
    <xf numFmtId="4" fontId="22" fillId="0" borderId="0" xfId="0" applyNumberFormat="1" applyFont="1" applyBorder="1" applyAlignment="1">
      <alignment horizontal="right"/>
    </xf>
    <xf numFmtId="1" fontId="5" fillId="0" borderId="0" xfId="0" applyNumberFormat="1" applyFont="1" applyFill="1" applyAlignment="1">
      <alignment horizontal="left"/>
    </xf>
    <xf numFmtId="164" fontId="24" fillId="0" borderId="0" xfId="0" applyNumberFormat="1" applyFont="1" applyFill="1" applyAlignment="1">
      <alignment horizontal="left"/>
    </xf>
    <xf numFmtId="4" fontId="0" fillId="0" borderId="0" xfId="0" applyNumberFormat="1" applyFont="1" applyBorder="1" applyAlignment="1">
      <alignment horizontal="right"/>
    </xf>
    <xf numFmtId="2" fontId="32" fillId="0" borderId="0" xfId="0" applyNumberFormat="1" applyFont="1" applyAlignment="1">
      <alignment horizontal="center"/>
    </xf>
    <xf numFmtId="1" fontId="7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14" fontId="2" fillId="0" borderId="2" xfId="0" applyNumberFormat="1" applyFont="1" applyBorder="1"/>
    <xf numFmtId="49" fontId="14" fillId="0" borderId="0" xfId="0" applyNumberFormat="1" applyFont="1" applyFill="1"/>
    <xf numFmtId="14" fontId="1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9" fontId="39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5" fillId="0" borderId="1" xfId="0" applyNumberFormat="1" applyFont="1" applyBorder="1"/>
    <xf numFmtId="49" fontId="40" fillId="0" borderId="1" xfId="0" applyNumberFormat="1" applyFont="1" applyBorder="1" applyAlignment="1">
      <alignment horizontal="left"/>
    </xf>
    <xf numFmtId="14" fontId="35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/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  <xf numFmtId="0" fontId="0" fillId="0" borderId="1" xfId="0" applyNumberFormat="1" applyBorder="1" applyAlignment="1">
      <alignment horizontal="left"/>
    </xf>
    <xf numFmtId="1" fontId="50" fillId="0" borderId="0" xfId="0" applyNumberFormat="1" applyFont="1" applyAlignment="1">
      <alignment horizontal="right"/>
    </xf>
    <xf numFmtId="1" fontId="50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14" fillId="0" borderId="0" xfId="0" applyNumberFormat="1" applyFont="1"/>
    <xf numFmtId="2" fontId="17" fillId="0" borderId="0" xfId="0" applyNumberFormat="1" applyFont="1" applyFill="1"/>
    <xf numFmtId="4" fontId="23" fillId="0" borderId="0" xfId="0" applyNumberFormat="1" applyFont="1"/>
    <xf numFmtId="1" fontId="6" fillId="0" borderId="0" xfId="0" applyNumberFormat="1" applyFont="1" applyFill="1" applyAlignment="1">
      <alignment horizontal="left"/>
    </xf>
    <xf numFmtId="0" fontId="0" fillId="0" borderId="6" xfId="0" applyNumberFormat="1" applyBorder="1" applyAlignment="1">
      <alignment horizontal="left"/>
    </xf>
    <xf numFmtId="49" fontId="39" fillId="0" borderId="6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left"/>
    </xf>
    <xf numFmtId="14" fontId="0" fillId="0" borderId="6" xfId="0" applyNumberFormat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49" fontId="40" fillId="0" borderId="6" xfId="0" applyNumberFormat="1" applyFont="1" applyBorder="1" applyAlignment="1">
      <alignment horizontal="left"/>
    </xf>
    <xf numFmtId="167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1" fontId="0" fillId="0" borderId="6" xfId="0" applyNumberFormat="1" applyFont="1" applyFill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left"/>
    </xf>
    <xf numFmtId="4" fontId="0" fillId="0" borderId="6" xfId="0" applyNumberFormat="1" applyFont="1" applyBorder="1" applyAlignment="1"/>
    <xf numFmtId="14" fontId="35" fillId="0" borderId="6" xfId="0" applyNumberFormat="1" applyFont="1" applyBorder="1" applyAlignment="1">
      <alignment horizontal="center"/>
    </xf>
    <xf numFmtId="4" fontId="27" fillId="0" borderId="1" xfId="0" applyNumberFormat="1" applyFont="1" applyBorder="1" applyAlignment="1">
      <alignment horizontal="right"/>
    </xf>
    <xf numFmtId="2" fontId="39" fillId="0" borderId="1" xfId="0" applyNumberFormat="1" applyFont="1" applyFill="1" applyBorder="1" applyAlignment="1">
      <alignment horizontal="center"/>
    </xf>
    <xf numFmtId="0" fontId="48" fillId="0" borderId="1" xfId="0" applyFont="1" applyFill="1" applyBorder="1"/>
    <xf numFmtId="2" fontId="39" fillId="0" borderId="6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2" fontId="32" fillId="0" borderId="0" xfId="0" applyNumberFormat="1" applyFont="1" applyFill="1" applyAlignment="1">
      <alignment horizontal="center"/>
    </xf>
    <xf numFmtId="4" fontId="35" fillId="0" borderId="1" xfId="0" applyNumberFormat="1" applyFont="1" applyBorder="1" applyAlignment="1"/>
    <xf numFmtId="4" fontId="14" fillId="0" borderId="1" xfId="0" applyNumberFormat="1" applyFont="1" applyFill="1" applyBorder="1" applyAlignment="1">
      <alignment horizontal="right"/>
    </xf>
    <xf numFmtId="4" fontId="35" fillId="0" borderId="6" xfId="0" applyNumberFormat="1" applyFont="1" applyBorder="1" applyAlignment="1"/>
    <xf numFmtId="4" fontId="35" fillId="0" borderId="6" xfId="0" applyNumberFormat="1" applyFont="1" applyBorder="1"/>
    <xf numFmtId="2" fontId="39" fillId="0" borderId="1" xfId="0" applyNumberFormat="1" applyFont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2" fontId="39" fillId="0" borderId="6" xfId="0" applyNumberFormat="1" applyFont="1" applyBorder="1" applyAlignment="1">
      <alignment horizontal="center"/>
    </xf>
    <xf numFmtId="14" fontId="0" fillId="0" borderId="0" xfId="0" applyNumberFormat="1" applyFont="1" applyFill="1" applyAlignment="1">
      <alignment horizontal="right"/>
    </xf>
    <xf numFmtId="1" fontId="0" fillId="7" borderId="1" xfId="0" applyNumberFormat="1" applyFont="1" applyFill="1" applyBorder="1" applyAlignment="1">
      <alignment horizontal="center"/>
    </xf>
    <xf numFmtId="0" fontId="18" fillId="6" borderId="0" xfId="0" applyFont="1" applyFill="1"/>
    <xf numFmtId="14" fontId="0" fillId="0" borderId="6" xfId="0" applyNumberFormat="1" applyFont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49" fontId="49" fillId="4" borderId="9" xfId="0" applyNumberFormat="1" applyFont="1" applyFill="1" applyBorder="1" applyAlignment="1">
      <alignment horizontal="center"/>
    </xf>
    <xf numFmtId="2" fontId="49" fillId="4" borderId="9" xfId="0" applyNumberFormat="1" applyFont="1" applyFill="1" applyBorder="1" applyAlignment="1">
      <alignment horizontal="center"/>
    </xf>
    <xf numFmtId="14" fontId="2" fillId="4" borderId="9" xfId="0" applyNumberFormat="1" applyFont="1" applyFill="1" applyBorder="1" applyAlignment="1">
      <alignment horizontal="right"/>
    </xf>
    <xf numFmtId="4" fontId="2" fillId="4" borderId="9" xfId="0" applyNumberFormat="1" applyFont="1" applyFill="1" applyBorder="1" applyAlignment="1">
      <alignment horizontal="right"/>
    </xf>
    <xf numFmtId="4" fontId="42" fillId="4" borderId="9" xfId="0" applyNumberFormat="1" applyFont="1" applyFill="1" applyBorder="1"/>
    <xf numFmtId="49" fontId="41" fillId="4" borderId="9" xfId="0" applyNumberFormat="1" applyFont="1" applyFill="1" applyBorder="1"/>
    <xf numFmtId="0" fontId="42" fillId="4" borderId="9" xfId="0" applyFont="1" applyFill="1" applyBorder="1" applyAlignment="1">
      <alignment horizontal="center"/>
    </xf>
    <xf numFmtId="167" fontId="2" fillId="4" borderId="9" xfId="0" applyNumberFormat="1" applyFont="1" applyFill="1" applyBorder="1" applyAlignment="1">
      <alignment horizontal="center"/>
    </xf>
    <xf numFmtId="49" fontId="2" fillId="4" borderId="9" xfId="0" applyNumberFormat="1" applyFont="1" applyFill="1" applyBorder="1"/>
    <xf numFmtId="1" fontId="2" fillId="4" borderId="9" xfId="0" applyNumberFormat="1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2" xfId="2" xr:uid="{22F27683-4B6E-4C16-A266-9EE0F143609E}"/>
  </cellStyles>
  <dxfs count="187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ont>
        <color rgb="FF00B050"/>
      </font>
    </dxf>
    <dxf>
      <fill>
        <patternFill>
          <bgColor theme="5" tint="-0.24994659260841701"/>
        </patternFill>
      </fill>
    </dxf>
    <dxf>
      <font>
        <color rgb="FF00B050"/>
      </font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FF0000"/>
      </font>
    </dxf>
    <dxf>
      <font>
        <color rgb="FF9C0006"/>
      </font>
    </dxf>
    <dxf>
      <font>
        <color rgb="FF9C0006"/>
      </font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ont>
        <color rgb="FFFF0000"/>
      </font>
    </dxf>
    <dxf>
      <fill>
        <patternFill>
          <bgColor theme="5" tint="-0.24994659260841701"/>
        </patternFill>
      </fill>
    </dxf>
    <dxf>
      <font>
        <color rgb="FF9C0006"/>
      </font>
    </dxf>
    <dxf>
      <font>
        <color rgb="FF9C0006"/>
      </font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FF0000"/>
      </font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2" tint="-0.249977111117893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FF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FF000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165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165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9.9978637043366805E-2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0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/mm/yyyy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/mm/yy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9.9978637043366805E-2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2" tint="-9.9978637043366805E-2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9.9978637043366805E-2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9.9978637043366805E-2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0.499984740745262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0.499984740745262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0.499984740745262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0.499984740745262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Style de tableau 1" pivot="0" count="0" xr9:uid="{BAA58798-E280-4F70-BC91-5A56A8F9B1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Scans/Copie%20Dropbox/xSANDRA/_STOCK%20&amp;%20CA%20Promerka/Factures%20Creancier%20par%20section%20de%20frai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Scans/Copie%20Dropbox/xSANDRA/_STOCK%20&amp;%20CA%20Promerka/Factures%20Debiteurs%20-%20Client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ncier Section de frais 2019"/>
      <sheetName val="Factures ouvert au 31.12.19"/>
      <sheetName val="FA par mois"/>
      <sheetName val="OD TVA"/>
      <sheetName val="OD au 31.12.2019"/>
      <sheetName val="Banque Raikka"/>
      <sheetName val="Banque Raikka (2)"/>
      <sheetName val="Leasing"/>
      <sheetName val="Coldtec"/>
      <sheetName val="Feuil2"/>
      <sheetName val="Feuil1"/>
    </sheetNames>
    <sheetDataSet>
      <sheetData sheetId="0">
        <row r="10">
          <cell r="A10" t="str">
            <v>n° facture</v>
          </cell>
          <cell r="B10" t="str">
            <v>Date de la
facture</v>
          </cell>
          <cell r="C10" t="str">
            <v>DATE RECU</v>
          </cell>
          <cell r="D10" t="str">
            <v>Créancier</v>
          </cell>
          <cell r="E10" t="str">
            <v>Montant HT</v>
          </cell>
          <cell r="F10" t="str">
            <v>Montant
TTC
CHF</v>
          </cell>
          <cell r="G10" t="str">
            <v>P-Group
TTC</v>
          </cell>
          <cell r="H10" t="str">
            <v>Escomptes
CHF</v>
          </cell>
          <cell r="I10" t="str">
            <v>Change € &gt; CH</v>
          </cell>
          <cell r="J10" t="str">
            <v>Montant
€ / USD</v>
          </cell>
          <cell r="K10" t="str">
            <v>TVA %
inclus</v>
          </cell>
          <cell r="L10" t="str">
            <v>Échéance</v>
          </cell>
          <cell r="M10" t="str">
            <v>Teilbetrag
Gesamtbetrag bei Teilung</v>
          </cell>
          <cell r="N10" t="str">
            <v>Commentaire
paiement</v>
          </cell>
          <cell r="O10" t="str">
            <v>Fällig
SEIT</v>
          </cell>
          <cell r="P10" t="str">
            <v>pour
formule</v>
          </cell>
          <cell r="Q10" t="str">
            <v>ETAT
per
30.06.2019</v>
          </cell>
          <cell r="R10" t="str">
            <v>compte</v>
          </cell>
          <cell r="S10" t="str">
            <v>payée le
reçu le</v>
          </cell>
          <cell r="T10" t="str">
            <v>payée
PAR</v>
          </cell>
          <cell r="U10" t="str">
            <v>Société</v>
          </cell>
          <cell r="V10" t="str">
            <v>POUR</v>
          </cell>
          <cell r="W10" t="str">
            <v>Commentaire</v>
          </cell>
          <cell r="X10" t="str">
            <v>Promerka
Group
TEMP</v>
          </cell>
          <cell r="Y10" t="str">
            <v>RENTAS</v>
          </cell>
          <cell r="Z10" t="str">
            <v>Gabriel privé</v>
          </cell>
          <cell r="AA10" t="str">
            <v>Frais SS</v>
          </cell>
          <cell r="AB10" t="str">
            <v>Prêt
Credits</v>
          </cell>
          <cell r="AC10" t="str">
            <v>Promerka Group</v>
          </cell>
          <cell r="AD10" t="str">
            <v>Sourcing,
Management
Pro Group</v>
          </cell>
          <cell r="AE10" t="str">
            <v>Conseils &amp; Gestion financière</v>
          </cell>
          <cell r="AF10" t="str">
            <v>Frais de 
representation</v>
          </cell>
          <cell r="AG10" t="str">
            <v>Restaurant</v>
          </cell>
          <cell r="AH10" t="str">
            <v>Frais Monteurs
Deplacement
Montage</v>
          </cell>
          <cell r="AI10" t="str">
            <v>Werbungs
kosten
Kataloge/
Etiketten</v>
          </cell>
          <cell r="AJ10" t="str">
            <v>Architekten
Projekte</v>
          </cell>
          <cell r="AK10" t="str">
            <v>Sponsoring</v>
          </cell>
          <cell r="AL10" t="str">
            <v>Formation intern</v>
          </cell>
          <cell r="AM10" t="str">
            <v>Commission</v>
          </cell>
          <cell r="AN10" t="str">
            <v>Mitarbeiter
Kosten
ohne SALAIRE INTERN</v>
          </cell>
          <cell r="AO10" t="str">
            <v>Salaires
Avance salaires</v>
          </cell>
          <cell r="AP10" t="str">
            <v>Caisse Pension
TELLCO</v>
          </cell>
          <cell r="AQ10" t="str">
            <v>fpV Caisse AVS
Cotisations</v>
          </cell>
          <cell r="AR10" t="str">
            <v>Impots à
la source</v>
          </cell>
          <cell r="AS10" t="str">
            <v>Mutuel
LCA</v>
          </cell>
          <cell r="AT10" t="str">
            <v>Nebenkosten
Assurance
Mitarbeiter</v>
          </cell>
          <cell r="AU10" t="str">
            <v>ASS
RC</v>
          </cell>
          <cell r="AV10" t="str">
            <v>Assurances
Intern,
Loyer, choses, incendie</v>
          </cell>
          <cell r="AW10" t="str">
            <v>Leasing</v>
          </cell>
          <cell r="AX10" t="str">
            <v>Achat vehicules</v>
          </cell>
          <cell r="AY10" t="str">
            <v>Parking</v>
          </cell>
          <cell r="AZ10" t="str">
            <v>Frais Vehicules</v>
          </cell>
          <cell r="BA10" t="str">
            <v>Diesel
Vehicules</v>
          </cell>
          <cell r="BB10" t="str">
            <v>Location
Bureau
Depot
Parking</v>
          </cell>
          <cell r="BC10" t="str">
            <v>Getränke
Mitarbeiter</v>
          </cell>
          <cell r="BD10" t="str">
            <v>Matériel bureau
intern</v>
          </cell>
          <cell r="BE10" t="str">
            <v>Matériel
Depot
Montage</v>
          </cell>
          <cell r="BF10" t="str">
            <v>Telephone 
&amp; Internet
intern</v>
          </cell>
          <cell r="BG10" t="str">
            <v>WEB/MAIL
Homepage
Domaine
Informatique</v>
          </cell>
          <cell r="BH10" t="str">
            <v>WINBIZ
&amp; Server</v>
          </cell>
          <cell r="BI10" t="str">
            <v>Electricité</v>
          </cell>
          <cell r="BJ10" t="str">
            <v>Chauffage</v>
          </cell>
          <cell r="BK10" t="str">
            <v>Frais bancaire
SumUp
Aduno
PostFinance</v>
          </cell>
          <cell r="BL10" t="str">
            <v>Taxe Div
restigre du commerce</v>
          </cell>
          <cell r="BM10" t="str">
            <v>Strafen
Intérêts
intern</v>
          </cell>
          <cell r="BN10" t="str">
            <v xml:space="preserve">Dechets
reclyclage ELEKTRO
</v>
          </cell>
          <cell r="BO10" t="str">
            <v>Fiducaire
Compta</v>
          </cell>
          <cell r="BP10" t="str">
            <v>Impôt sur 
le benefice et le
capital</v>
          </cell>
          <cell r="BQ10" t="str">
            <v>Impots 
Federal
Direct</v>
          </cell>
          <cell r="BR10" t="str">
            <v>TVA</v>
          </cell>
          <cell r="BS10" t="str">
            <v>TVA
(Einfuhr
AFD)</v>
          </cell>
          <cell r="BT10" t="str">
            <v>Garantie
AFD</v>
          </cell>
          <cell r="BU10" t="str">
            <v>Einfuhr
Spesen</v>
          </cell>
          <cell r="BV10" t="str">
            <v>Dedouanement CH
GERLACH</v>
          </cell>
          <cell r="BW10" t="str">
            <v>Rückvergütungen
Kunden</v>
          </cell>
          <cell r="BX10" t="str">
            <v>Frachtkosten
Lieferant
International</v>
          </cell>
          <cell r="BY10" t="str">
            <v>Frachtkosten
Lieferant
National</v>
          </cell>
          <cell r="BZ10" t="str">
            <v>Post
Pakete &amp;
Briefe
Kunden</v>
          </cell>
          <cell r="CA10" t="str">
            <v>Post
Pakete &amp;
Briefe
intern</v>
          </cell>
          <cell r="CB10" t="str">
            <v>Frachtkosten
Kunden</v>
          </cell>
          <cell r="CC10" t="str">
            <v>Montage-kosten
Kunden</v>
          </cell>
          <cell r="CD10" t="str">
            <v>Accoustic MOSS</v>
          </cell>
          <cell r="CE10" t="str">
            <v>CAFE
&amp;
Zubehör</v>
          </cell>
          <cell r="CF10" t="str">
            <v>Kauf &amp;
Wartung
Kaffee-
maschinen</v>
          </cell>
          <cell r="CG10" t="str">
            <v>Wasser
Coca</v>
          </cell>
          <cell r="CH10" t="str">
            <v>Limonade</v>
          </cell>
          <cell r="CI10" t="str">
            <v>MAT Bureau
allgemein</v>
          </cell>
          <cell r="CJ10" t="str">
            <v>Mat Bureau
Tableaux</v>
          </cell>
          <cell r="CK10" t="str">
            <v>Lampen</v>
          </cell>
          <cell r="CL10" t="str">
            <v>Armoire séchante</v>
          </cell>
          <cell r="CM10" t="str">
            <v>Biertische
Regal
Mülltonnen
Cendrier</v>
          </cell>
          <cell r="CN10" t="str">
            <v>Equimenents pro</v>
          </cell>
          <cell r="CO10" t="str">
            <v>Lave-Bottes</v>
          </cell>
          <cell r="CP10" t="str">
            <v>Meubles 
diverses</v>
          </cell>
          <cell r="CQ10" t="str">
            <v>Schränke</v>
          </cell>
          <cell r="CR10" t="str">
            <v>Vestiares
Garderoben
Bänke</v>
          </cell>
          <cell r="CS10" t="str">
            <v>Chaises</v>
          </cell>
          <cell r="CT10" t="str">
            <v>Tables
Caissons</v>
          </cell>
          <cell r="CU10" t="str">
            <v>Separations
Screens
Reception</v>
          </cell>
          <cell r="CV10" t="str">
            <v>Lits &amp; Matelas
&amp; Bettzeug</v>
          </cell>
          <cell r="CW10" t="str">
            <v>Pouf
Planter Box
Silent Box
Diverses</v>
          </cell>
          <cell r="CX10" t="str">
            <v>Küche
Bac collectif
Herdplatten</v>
          </cell>
          <cell r="CY10" t="str">
            <v>Elektro
&amp; BAU
4</v>
          </cell>
          <cell r="CZ10" t="str">
            <v>Klimageräte
Ventilateurs</v>
          </cell>
          <cell r="DA10" t="str">
            <v>Heizlüfter
Heizen</v>
          </cell>
          <cell r="DB10" t="str">
            <v>Arbeits-
kleidung</v>
          </cell>
          <cell r="DC10" t="str">
            <v>Haushalts-
E-Geräte
Grills</v>
          </cell>
          <cell r="DD10" t="str">
            <v>Hubwagen</v>
          </cell>
          <cell r="DE10" t="str">
            <v>Werkstatt &amp; Industrie</v>
          </cell>
          <cell r="DF10" t="str">
            <v>Aspirateurs</v>
          </cell>
          <cell r="DG10" t="str">
            <v>Nettoyage
Hygiene</v>
          </cell>
          <cell r="DH10" t="str">
            <v>Geschirr</v>
          </cell>
          <cell r="DI10" t="str">
            <v>Kleinmaterial</v>
          </cell>
          <cell r="DJ10" t="str">
            <v>Service
Clients
Faute INT</v>
          </cell>
          <cell r="DK10" t="str">
            <v>Service Externe</v>
          </cell>
          <cell r="DL10" t="str">
            <v>Natures Green</v>
          </cell>
          <cell r="DM10" t="str">
            <v>Divers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2019"/>
      <sheetName val="FA Clients 2019 ouvert au 31.12"/>
      <sheetName val="Blacklist"/>
      <sheetName val="Feuil2"/>
      <sheetName val="Factures Debiteurs - Clients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ndra Schmid" id="{52D6D614-20A5-4ACF-8142-9F74593B388A}" userId="S-1-5-21-27800273-1052648655-3620229646-110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96A374-45D9-4A37-BBD6-CCECEFF28DEB}" name="Tableau3453" displayName="Tableau3453" ref="A15:S796" totalsRowShown="0" headerRowDxfId="186" tableBorderDxfId="185">
  <autoFilter ref="A15:S796" xr:uid="{00000000-0009-0000-0100-000001000000}">
    <filterColumn colId="9">
      <filters blank="1"/>
    </filterColumn>
  </autoFilter>
  <sortState xmlns:xlrd2="http://schemas.microsoft.com/office/spreadsheetml/2017/richdata2" ref="A424:S796">
    <sortCondition ref="D15:D796"/>
  </sortState>
  <tableColumns count="19">
    <tableColumn id="1" xr3:uid="{B9E45A74-1453-448D-85F5-AF2CEEBEFD18}" name="N° facture" dataDxfId="184" totalsRowDxfId="183"/>
    <tableColumn id="30" xr3:uid="{E9E4AE5F-CD35-4831-B028-32A10FA78EBE}" name="Conditions_x000a_pmt+" dataDxfId="182" totalsRowDxfId="181"/>
    <tableColumn id="23" xr3:uid="{66F3434E-E2AD-4943-A3FA-CB60818B8D7B}" name="&gt;délai+5_x000a_jours" dataDxfId="180" totalsRowDxfId="179">
      <calculatedColumnFormula>IF(Tableau3453[[#This Row],[Date 
du paiement]]="",IF(Tableau3453[[#This Row],[Jours]]&gt;Tableau3453[[#This Row],[Conditions
pmt+]]+5,"oui",""),"")</calculatedColumnFormula>
    </tableColumn>
    <tableColumn id="12" xr3:uid="{4F113A67-EBA9-4A4F-A4CC-AECFC999C38C}" name="Client" dataDxfId="178" totalsRowDxfId="177"/>
    <tableColumn id="3" xr3:uid="{19881196-0F14-4063-A429-47C5B7B138FC}" name="Date_x000a_de la facture" dataDxfId="176" totalsRowDxfId="175"/>
    <tableColumn id="20" xr3:uid="{F1055943-F1B7-4A45-B167-1A544CDD5779}" name="Montant_x000a_de la facture_x000a_CHF" dataDxfId="174"/>
    <tableColumn id="28" xr3:uid="{C0DEC068-2A43-45FB-865E-134FDE15670C}" name="Solde _x000a_ouverte_x000a_fm" dataDxfId="173" totalsRowDxfId="172">
      <calculatedColumnFormula>IF(Tableau3453[[#This Row],[Date 
du paiement]]="",Tableau3453[[#This Row],[Montant
de la facture
CHF]],"")</calculatedColumnFormula>
    </tableColumn>
    <tableColumn id="4" xr3:uid="{252CEF54-677A-4781-9FB6-5E47C501FC8A}" name="Commentaire_x000a_intern" dataDxfId="171" totalsRowDxfId="170"/>
    <tableColumn id="11" xr3:uid="{1AAF166F-AC87-4713-8961-C8115C85FA37}" name="Date d'envoi" dataDxfId="169" totalsRowDxfId="168"/>
    <tableColumn id="26" xr3:uid="{E40B9678-8EE2-44B2-9674-882715CEB23C}" name="Date _x000a_du paiement" dataDxfId="167" totalsRowDxfId="166"/>
    <tableColumn id="16" xr3:uid="{A5321C9D-A982-4DD3-9D49-5B3C842D74FF}" name="Méthode _x000a_du paiement" dataDxfId="165" totalsRowDxfId="164"/>
    <tableColumn id="29" xr3:uid="{3D6AB9D9-E32E-40B8-99C8-196F350ED55F}" name="Rappels" dataDxfId="163" totalsRowDxfId="162"/>
    <tableColumn id="17" xr3:uid="{ED5656A9-61DE-4D8A-ACF7-85B13DD50F2F}" name="Jours" dataDxfId="161" totalsRowDxfId="160">
      <calculatedColumnFormula>IF(Tableau3453[[#This Row],[Date 
du paiement]]="",$D$4-Tableau3453[[#This Row],[Date
de la facture]],Tableau3453[[#This Row],[Date 
du paiement]]-Tableau3453[[#This Row],[Date
de la facture]])</calculatedColumnFormula>
    </tableColumn>
    <tableColumn id="7" xr3:uid="{D15549DB-CB9A-4D63-B1B5-EB95AC62DD61}" name="0 - 30 jours" dataDxfId="159" totalsRowDxfId="158">
      <calculatedColumnFormula>IF(Tableau3453[[#This Row],[Date 
du paiement]]="",IF(Tableau3453[[#This Row],[Jours]]&lt;30,Tableau3453[[#This Row],[Montant
de la facture
CHF]],""),"")</calculatedColumnFormula>
    </tableColumn>
    <tableColumn id="6" xr3:uid="{40E3C7B3-C936-45BD-AF49-DA0956398EBD}" name="30 - 60 jours" dataDxfId="157" totalsRowDxfId="156">
      <calculatedColumnFormula>IF(Tableau3453[[#This Row],[Date 
du paiement]]="",IF(Tableau3453[[#This Row],[Jours]]&gt;30,IF(Tableau3453[[#This Row],[Jours]]&lt;60,Tableau3453[[#This Row],[Montant
de la facture
CHF]],""),""),"")</calculatedColumnFormula>
    </tableColumn>
    <tableColumn id="5" xr3:uid="{2FF7F2BB-4E4B-4337-85CF-6DCC416FBECC}" name="&gt; 60 jours" dataDxfId="155" totalsRowDxfId="154">
      <calculatedColumnFormula>IF(Tableau3453[[#This Row],[Date 
du paiement]]="",IF(Tableau3453[[#This Row],[Jours]]&gt;60,Tableau3453[[#This Row],[Montant
de la facture
CHF]],""),"")</calculatedColumnFormula>
    </tableColumn>
    <tableColumn id="22" xr3:uid="{4E8DB99C-FC8B-45B0-8F9F-447F9C67AA4A}" name="Commentaire _x000a_encaissement" dataDxfId="153" totalsRowDxfId="152"/>
    <tableColumn id="27" xr3:uid="{10E95005-C594-4789-A371-6C8362DCE39C}" name="Solde _x000a_ouverte_x000a_CHF" dataDxfId="151" totalsRowDxfId="150">
      <calculatedColumnFormula>Tableau3453[[#This Row],[Solde 
ouverte
fm]]</calculatedColumnFormula>
    </tableColumn>
    <tableColumn id="19" xr3:uid="{3348F1F2-5D69-4AF9-9947-4F061FC01087}" name="Solde échu_x000a_CHF" dataDxfId="149" totalsRowDxfId="148">
      <calculatedColumnFormula>IF(Tableau3453[[#This Row],[Date 
du paiement]]="",IF(Tableau3453[[#This Row],[Jours]]-Tableau3453[[#This Row],[Conditions
pmt+]]&gt;0,Tableau3453[[#This Row],[Montant
de la facture
CHF]],"0.00"),"0.00")</calculatedColumnFormula>
    </tableColumn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92E91F-E40C-4222-9B93-3C5E166BDA1E}" name="Tableau3384" displayName="Tableau3384" ref="A21:AB747" totalsRowShown="0" headerRowDxfId="147" dataDxfId="145" headerRowBorderDxfId="146">
  <autoFilter ref="A21:AB747" xr:uid="{A592E91F-E40C-4222-9B93-3C5E166BDA1E}">
    <filterColumn colId="2">
      <filters>
        <dateGroupItem year="2024" month="11" day="8" dateTimeGrouping="day"/>
        <dateGroupItem year="2024" month="11" day="12" dateTimeGrouping="day"/>
        <dateGroupItem year="2024" month="11" day="14" dateTimeGrouping="day"/>
        <dateGroupItem year="2024" month="11" day="15" dateTimeGrouping="day"/>
        <dateGroupItem year="2024" month="11" day="18" dateTimeGrouping="day"/>
        <dateGroupItem year="2024" month="11" day="20" dateTimeGrouping="day"/>
        <dateGroupItem year="2024" month="11" day="21" dateTimeGrouping="day"/>
      </filters>
    </filterColumn>
  </autoFilter>
  <sortState xmlns:xlrd2="http://schemas.microsoft.com/office/spreadsheetml/2017/richdata2" ref="A550:AB747">
    <sortCondition ref="B21:B747"/>
  </sortState>
  <tableColumns count="28">
    <tableColumn id="1" xr3:uid="{7B486807-A0A4-4225-A98E-1396A75BE927}" name="N° du document" dataDxfId="144" totalsRowDxfId="143"/>
    <tableColumn id="2" xr3:uid="{09E4965F-9B94-4560-BF1F-A54119546CE9}" name="Date de _x000a_la facture" dataDxfId="142" totalsRowDxfId="141"/>
    <tableColumn id="3" xr3:uid="{8239225F-1F5C-4BE9-A0CB-6BE953FCB8E2}" name="Date de _x000a_la réception" dataDxfId="140" totalsRowDxfId="139"/>
    <tableColumn id="4" xr3:uid="{8E1982FE-92A3-40B3-B2B7-37D52B7EADB9}" name="Créancier/Fournisseur" dataDxfId="138" totalsRowDxfId="137"/>
    <tableColumn id="6" xr3:uid="{68A2CBB4-ED7D-4FE0-AF73-695037D8C74C}" name="Montant_x000a_CHF" dataDxfId="136" totalsRowDxfId="135"/>
    <tableColumn id="20" xr3:uid="{DA343010-1557-4ABE-8023-1D3EBD6B6EAF}" name="TVA %_x000a_incluse" dataDxfId="134" totalsRowDxfId="133"/>
    <tableColumn id="85" xr3:uid="{EA646E1B-F93C-4B91-8B9A-E2A2910E65A6}" name="Abzug/Spesen_x000a_CHF" dataDxfId="132" totalsRowDxfId="131"/>
    <tableColumn id="8" xr3:uid="{9B93E81A-9886-4F3D-9D7D-7D129BDA32C4}" name="Montant prevu à payer CH" dataDxfId="130" totalsRowDxfId="129">
      <calculatedColumnFormula>Tableau3384[[#This Row],[Montant
CHF]]+Tableau3384[[#This Row],[Abzug/Spesen
CHF]]</calculatedColumnFormula>
    </tableColumn>
    <tableColumn id="83" xr3:uid="{81C0BED4-B444-432F-B464-5B2A1B1B773F}" name="Taux _x000a_de change" dataDxfId="128" totalsRowDxfId="127"/>
    <tableColumn id="7" xr3:uid="{F9216FF6-7760-4C63-B446-D666929F94C8}" name="Montant_x000a_EUR" dataDxfId="126" totalsRowDxfId="125"/>
    <tableColumn id="11" xr3:uid="{397F6B2F-F5F8-4828-A0A0-31DAE5ACE891}" name="Montant_x000a_USD" dataDxfId="124" totalsRowDxfId="123"/>
    <tableColumn id="19" xr3:uid="{F66E68CC-747E-4B0D-BE63-AC7F76AD80EB}" name="Montant total _x000a_une fois divisé" dataDxfId="122" totalsRowDxfId="121"/>
    <tableColumn id="21" xr3:uid="{B6D86590-4184-46B8-85FF-968ECFEA29A9}" name="Commentaire facture" dataDxfId="120" totalsRowDxfId="119"/>
    <tableColumn id="9" xr3:uid="{C2954968-FFA6-4E33-BFF2-EB939D6CE7CE}" name="Écheance" dataDxfId="118" totalsRowDxfId="117"/>
    <tableColumn id="95" xr3:uid="{9C3B3327-7722-402F-A6EE-94C03D696FA5}" name="factures ouvertes" dataDxfId="116" totalsRowDxfId="115">
      <calculatedColumnFormula>IF(Tableau3384[[#This Row],[Date du paiement]]&gt;0,"",Tableau3384[[#This Row],[Montant
CHF]])</calculatedColumnFormula>
    </tableColumn>
    <tableColumn id="32" xr3:uid="{D7C3D8B0-BCDB-456D-AC88-93C8F082F3D0}" name="jours jusqu'à l'écheance" dataDxfId="114" totalsRowDxfId="113">
      <calculatedColumnFormula>IF(Tableau3384[[#This Row],[Date du paiement]]="",$B$4-Tableau3384[[#This Row],[Écheance]],"")</calculatedColumnFormula>
    </tableColumn>
    <tableColumn id="12" xr3:uid="{F5871979-6795-44C0-8E72-6D0553436A56}" name="factures échues" dataDxfId="112" totalsRowDxfId="111">
      <calculatedColumnFormula>IF(Tableau3384[[#This Row],[Date du paiement]]="",IF(Tableau3384[[#This Row],[jours jusqu''à l''écheance]]&gt;0,Tableau3384[[#This Row],[Montant
CHF]],""),"")</calculatedColumnFormula>
    </tableColumn>
    <tableColumn id="10" xr3:uid="{F9E36F5B-95AC-4B80-9728-356CF98BFF79}" name="factures échues_x000a_au date B10" dataDxfId="110" totalsRowDxfId="109">
      <calculatedColumnFormula>IF(Tableau3384[[#This Row],[Date du paiement]]="",IF(Tableau3384[[#This Row],[jours jusqu''à l''écheance]]&gt;0,Tableau3384[[#This Row],[Montant
CHF]],""),"")</calculatedColumnFormula>
    </tableColumn>
    <tableColumn id="28" xr3:uid="{EBC9506E-209B-45D4-8941-31B9E297D55A}" name="Paiements prevus" dataDxfId="108" totalsRowDxfId="107"/>
    <tableColumn id="29" xr3:uid="{8E510ECF-94C4-4DA8-8CCD-AC30F7CEF86F}" name="Paiement_x000a_prévu" dataDxfId="106" totalsRowDxfId="105">
      <calculatedColumnFormula>IF(Tableau3384[[#This Row],[Paiements prevus]]="oui",Tableau3384[[#This Row],[Montant prevu à payer CH]],"")</calculatedColumnFormula>
    </tableColumn>
    <tableColumn id="5" xr3:uid="{EC9C56B0-BA0B-4588-A095-F909046ED14C}" name="année" dataDxfId="104" totalsRowDxfId="103"/>
    <tableColumn id="109" xr3:uid="{3BC9ACEE-753E-4C02-8D0D-E59B96CE5DAF}" name="compte" dataDxfId="102" totalsRowDxfId="101"/>
    <tableColumn id="33" xr3:uid="{BBFB133A-75A1-4EC5-8765-269812E448D0}" name="Commentaire" dataDxfId="100" totalsRowDxfId="99"/>
    <tableColumn id="13" xr3:uid="{F0181EEB-072A-460C-9513-63CF236D8072}" name="Date du paiement" dataDxfId="98" totalsRowDxfId="97"/>
    <tableColumn id="14" xr3:uid="{A4D616B0-D17C-4C20-9D46-F0D6F9A2030E}" name="Méthode du paiement" dataDxfId="96" totalsRowDxfId="95"/>
    <tableColumn id="15" xr3:uid="{E2E5B974-554A-422C-986D-69B25F02E4C8}" name="Mastercard" dataDxfId="94" totalsRowDxfId="93">
      <calculatedColumnFormula>IF(Tableau3384[[#This Row],[Méthode du paiement]]="Mastercard","OUI","")</calculatedColumnFormula>
    </tableColumn>
    <tableColumn id="16" xr3:uid="{C1DA21E4-9C29-46E8-AA4D-E8298AA838A8}" name="Affectation" dataDxfId="92" totalsRowDxfId="91"/>
    <tableColumn id="17" xr3:uid="{7FAAB954-BA58-4FD5-AB75-88743246AFE9}" name="Commentaire_x000a_affectation" dataDxfId="90" totalsRowDxfId="89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417" dT="2024-08-20T13:45:46.33" personId="{52D6D614-20A5-4ACF-8142-9F74593B388A}" id="{513541D8-B7E0-4163-BEA8-89372F0099C0}">
    <text>Mahnstopp bis 23.08</text>
  </threadedComment>
  <threadedComment ref="L437" dT="2024-08-19T14:29:27.01" personId="{52D6D614-20A5-4ACF-8142-9F74593B388A}" id="{D5E0B0A5-3389-4DDC-BD79-47CE69400A7B}">
    <text>Mahnstopp bis 25.08</text>
  </threadedComment>
  <threadedComment ref="L634" dT="2024-11-12T14:14:32.09" personId="{52D6D614-20A5-4ACF-8142-9F74593B388A}" id="{5C7C156F-DC3D-4494-9A9F-A110199CF235}">
    <text>Mahnstopp bis 15.11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ta-leman@colas.ch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009F-2196-445B-B266-32CFE9F45CB2}">
  <sheetPr>
    <pageSetUpPr fitToPage="1"/>
  </sheetPr>
  <dimension ref="A1:S797"/>
  <sheetViews>
    <sheetView tabSelected="1" zoomScale="90" zoomScaleNormal="90" workbookViewId="0">
      <pane xSplit="5" ySplit="15" topLeftCell="F783" activePane="bottomRight" state="frozen"/>
      <selection pane="topRight" activeCell="F1" sqref="F1"/>
      <selection pane="bottomLeft" activeCell="A14" sqref="A14"/>
      <selection pane="bottomRight" activeCell="D789" sqref="D789"/>
    </sheetView>
  </sheetViews>
  <sheetFormatPr baseColWidth="10" defaultRowHeight="15" outlineLevelRow="2" outlineLevelCol="2" x14ac:dyDescent="0.25"/>
  <cols>
    <col min="1" max="1" width="25.42578125" style="201" customWidth="1"/>
    <col min="2" max="2" width="7" style="200" hidden="1" customWidth="1" outlineLevel="2"/>
    <col min="3" max="3" width="7" style="272" hidden="1" customWidth="1" outlineLevel="2"/>
    <col min="4" max="4" width="37.7109375" style="201" customWidth="1" collapsed="1"/>
    <col min="5" max="5" width="12.85546875" style="202" customWidth="1"/>
    <col min="6" max="6" width="12.85546875" style="203" customWidth="1"/>
    <col min="7" max="7" width="8.85546875" style="204" hidden="1" customWidth="1" outlineLevel="1"/>
    <col min="8" max="8" width="28.28515625" style="205" hidden="1" customWidth="1" outlineLevel="1"/>
    <col min="9" max="9" width="11.140625" style="206" hidden="1" customWidth="1" outlineLevel="1"/>
    <col min="10" max="10" width="12.28515625" style="207" customWidth="1" collapsed="1"/>
    <col min="11" max="11" width="14.28515625" style="173" customWidth="1" outlineLevel="1"/>
    <col min="12" max="12" width="10.140625" style="208" customWidth="1" outlineLevel="1"/>
    <col min="13" max="13" width="7.7109375" style="208" customWidth="1"/>
    <col min="14" max="14" width="13.42578125" style="203" hidden="1" customWidth="1" outlineLevel="1"/>
    <col min="15" max="15" width="14.28515625" style="203" hidden="1" customWidth="1" outlineLevel="1"/>
    <col min="16" max="16" width="12.42578125" style="203" hidden="1" customWidth="1" outlineLevel="1"/>
    <col min="17" max="17" width="40.140625" style="209" hidden="1" customWidth="1" outlineLevel="1"/>
    <col min="18" max="18" width="11" style="8" bestFit="1" customWidth="1" collapsed="1"/>
    <col min="19" max="19" width="13.140625" style="203" bestFit="1" customWidth="1"/>
  </cols>
  <sheetData>
    <row r="1" spans="1:19" x14ac:dyDescent="0.25">
      <c r="A1" s="1" t="s">
        <v>619</v>
      </c>
    </row>
    <row r="2" spans="1:19" x14ac:dyDescent="0.25">
      <c r="A2" s="1" t="s">
        <v>832</v>
      </c>
      <c r="D2" s="222"/>
    </row>
    <row r="3" spans="1:19" x14ac:dyDescent="0.25">
      <c r="D3" s="222"/>
      <c r="H3" s="210"/>
      <c r="Q3" s="173"/>
    </row>
    <row r="4" spans="1:19" x14ac:dyDescent="0.25">
      <c r="A4" s="1" t="s">
        <v>833</v>
      </c>
      <c r="D4" s="211">
        <f ca="1">NOW()</f>
        <v>45617.469425347219</v>
      </c>
      <c r="K4" s="212"/>
      <c r="L4" s="213"/>
    </row>
    <row r="5" spans="1:19" hidden="1" outlineLevel="2" x14ac:dyDescent="0.25">
      <c r="A5" s="214" t="s">
        <v>834</v>
      </c>
      <c r="D5" s="215">
        <v>-342.7</v>
      </c>
      <c r="H5" s="216"/>
      <c r="I5" s="217"/>
      <c r="Q5" s="218"/>
    </row>
    <row r="6" spans="1:19" hidden="1" outlineLevel="2" x14ac:dyDescent="0.25">
      <c r="A6" s="219" t="s">
        <v>835</v>
      </c>
      <c r="D6" s="215">
        <v>-1257.0500000000002</v>
      </c>
      <c r="H6" s="216"/>
      <c r="I6" s="217"/>
      <c r="Q6" s="218"/>
    </row>
    <row r="7" spans="1:19" hidden="1" outlineLevel="2" x14ac:dyDescent="0.25">
      <c r="A7" s="219" t="s">
        <v>836</v>
      </c>
      <c r="D7" s="215">
        <v>689.55</v>
      </c>
      <c r="H7" s="216"/>
      <c r="I7" s="217"/>
      <c r="Q7" s="218"/>
    </row>
    <row r="8" spans="1:19" hidden="1" outlineLevel="1" collapsed="1" x14ac:dyDescent="0.25">
      <c r="A8" s="201" t="s">
        <v>837</v>
      </c>
      <c r="D8" s="220">
        <v>0</v>
      </c>
      <c r="H8" s="216"/>
      <c r="I8" s="217"/>
      <c r="Q8" s="218"/>
    </row>
    <row r="9" spans="1:19" hidden="1" outlineLevel="1" x14ac:dyDescent="0.25">
      <c r="A9" s="201" t="s">
        <v>832</v>
      </c>
      <c r="D9" s="220">
        <f>SUM(G:G)</f>
        <v>335155.84999999986</v>
      </c>
      <c r="H9" s="216"/>
      <c r="I9" s="217"/>
      <c r="L9" s="221"/>
      <c r="Q9" s="218"/>
    </row>
    <row r="10" spans="1:19" collapsed="1" x14ac:dyDescent="0.25">
      <c r="A10" s="1" t="s">
        <v>838</v>
      </c>
      <c r="D10" s="222">
        <f>D9+D8</f>
        <v>335155.84999999986</v>
      </c>
      <c r="I10" s="217"/>
      <c r="Q10" s="223"/>
    </row>
    <row r="11" spans="1:19" x14ac:dyDescent="0.25">
      <c r="D11" s="224"/>
      <c r="E11" s="224"/>
      <c r="I11" s="217"/>
      <c r="Q11" s="223"/>
    </row>
    <row r="12" spans="1:19" hidden="1" outlineLevel="1" x14ac:dyDescent="0.25">
      <c r="A12" s="1" t="s">
        <v>833</v>
      </c>
      <c r="D12" s="211"/>
      <c r="E12" s="224"/>
      <c r="I12" s="217"/>
      <c r="Q12" s="223"/>
    </row>
    <row r="13" spans="1:19" hidden="1" outlineLevel="1" x14ac:dyDescent="0.25">
      <c r="A13" s="1" t="s">
        <v>838</v>
      </c>
      <c r="D13" s="222"/>
      <c r="E13" s="224"/>
    </row>
    <row r="14" spans="1:19" hidden="1" outlineLevel="1" x14ac:dyDescent="0.25">
      <c r="E14" s="225"/>
      <c r="L14" s="226"/>
    </row>
    <row r="15" spans="1:19" s="173" customFormat="1" ht="36.75" collapsed="1" x14ac:dyDescent="0.25">
      <c r="A15" s="227" t="s">
        <v>840</v>
      </c>
      <c r="B15" s="273" t="s">
        <v>841</v>
      </c>
      <c r="C15" s="314" t="s">
        <v>1459</v>
      </c>
      <c r="D15" s="227" t="s">
        <v>842</v>
      </c>
      <c r="E15" s="228" t="s">
        <v>843</v>
      </c>
      <c r="F15" s="228" t="s">
        <v>844</v>
      </c>
      <c r="G15" s="229" t="s">
        <v>845</v>
      </c>
      <c r="H15" s="230" t="s">
        <v>846</v>
      </c>
      <c r="I15" s="315" t="s">
        <v>847</v>
      </c>
      <c r="J15" s="231" t="s">
        <v>1294</v>
      </c>
      <c r="K15" s="232" t="s">
        <v>848</v>
      </c>
      <c r="L15" s="228" t="s">
        <v>849</v>
      </c>
      <c r="M15" s="231" t="s">
        <v>850</v>
      </c>
      <c r="N15" s="233" t="s">
        <v>851</v>
      </c>
      <c r="O15" s="234" t="s">
        <v>852</v>
      </c>
      <c r="P15" s="235" t="s">
        <v>853</v>
      </c>
      <c r="Q15" s="316" t="s">
        <v>854</v>
      </c>
      <c r="R15" s="236" t="s">
        <v>855</v>
      </c>
      <c r="S15" s="237" t="s">
        <v>856</v>
      </c>
    </row>
    <row r="16" spans="1:19" hidden="1" x14ac:dyDescent="0.25">
      <c r="A16" s="238">
        <v>240021</v>
      </c>
      <c r="B16" s="239" t="s">
        <v>870</v>
      </c>
      <c r="C16" s="352" t="str">
        <f>IF(Tableau3453[[#This Row],[Date 
du paiement]]="",IF(Tableau3453[[#This Row],[Jours]]&gt;Tableau3453[[#This Row],[Conditions
pmt+]]+5,"oui",""),"")</f>
        <v/>
      </c>
      <c r="D16" s="238" t="s">
        <v>871</v>
      </c>
      <c r="E16" s="240">
        <v>45292</v>
      </c>
      <c r="F16" s="241">
        <v>721.9</v>
      </c>
      <c r="G16" s="242" t="str">
        <f>IF(Tableau3453[[#This Row],[Date 
du paiement]]="",Tableau3453[[#This Row],[Montant
de la facture
CHF]],"")</f>
        <v/>
      </c>
      <c r="H16" s="243"/>
      <c r="I16" s="245">
        <v>45303</v>
      </c>
      <c r="J16" s="246">
        <v>45293</v>
      </c>
      <c r="K16" s="247" t="s">
        <v>58</v>
      </c>
      <c r="L16" s="248"/>
      <c r="M16" s="248">
        <f>IF(Tableau3453[[#This Row],[Date 
du paiement]]="",$D$4-Tableau3453[[#This Row],[Date
de la facture]],Tableau3453[[#This Row],[Date 
du paiement]]-Tableau3453[[#This Row],[Date
de la facture]])</f>
        <v>1</v>
      </c>
      <c r="N16" s="241" t="str">
        <f>IF(Tableau3453[[#This Row],[Date 
du paiement]]="",IF(Tableau3453[[#This Row],[Jours]]&lt;30,Tableau3453[[#This Row],[Montant
de la facture
CHF]],""),"")</f>
        <v/>
      </c>
      <c r="O16" s="241" t="str">
        <f>IF(Tableau3453[[#This Row],[Date 
du paiement]]="",IF(Tableau3453[[#This Row],[Jours]]&gt;30,IF(Tableau3453[[#This Row],[Jours]]&lt;60,Tableau3453[[#This Row],[Montant
de la facture
CHF]],""),""),"")</f>
        <v/>
      </c>
      <c r="P16" s="241" t="str">
        <f>IF(Tableau3453[[#This Row],[Date 
du paiement]]="",IF(Tableau3453[[#This Row],[Jours]]&gt;60,Tableau3453[[#This Row],[Montant
de la facture
CHF]],""),"")</f>
        <v/>
      </c>
      <c r="Q16" s="249"/>
      <c r="R16" s="250" t="str">
        <f>Tableau3453[[#This Row],[Solde 
ouverte
fm]]</f>
        <v/>
      </c>
      <c r="S1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" spans="1:19" hidden="1" x14ac:dyDescent="0.25">
      <c r="A17" s="238">
        <v>230739</v>
      </c>
      <c r="B17" s="239" t="s">
        <v>860</v>
      </c>
      <c r="C17" s="352" t="str">
        <f>IF(Tableau3453[[#This Row],[Date 
du paiement]]="",IF(Tableau3453[[#This Row],[Jours]]&gt;Tableau3453[[#This Row],[Conditions
pmt+]]+5,"oui",""),"")</f>
        <v/>
      </c>
      <c r="D17" s="238" t="s">
        <v>872</v>
      </c>
      <c r="E17" s="240">
        <v>45299</v>
      </c>
      <c r="F17" s="241">
        <v>340.5</v>
      </c>
      <c r="G17" s="242" t="str">
        <f>IF(Tableau3453[[#This Row],[Date 
du paiement]]="",Tableau3453[[#This Row],[Montant
de la facture
CHF]],"")</f>
        <v/>
      </c>
      <c r="H17" s="243"/>
      <c r="I17" s="245">
        <v>45303</v>
      </c>
      <c r="J17" s="246">
        <v>45323</v>
      </c>
      <c r="K17" s="247" t="s">
        <v>58</v>
      </c>
      <c r="L17" s="248"/>
      <c r="M17" s="248">
        <f>IF(Tableau3453[[#This Row],[Date 
du paiement]]="",$D$4-Tableau3453[[#This Row],[Date
de la facture]],Tableau3453[[#This Row],[Date 
du paiement]]-Tableau3453[[#This Row],[Date
de la facture]])</f>
        <v>24</v>
      </c>
      <c r="N17" s="241" t="str">
        <f>IF(Tableau3453[[#This Row],[Date 
du paiement]]="",IF(Tableau3453[[#This Row],[Jours]]&lt;30,Tableau3453[[#This Row],[Montant
de la facture
CHF]],""),"")</f>
        <v/>
      </c>
      <c r="O17" s="241" t="str">
        <f>IF(Tableau3453[[#This Row],[Date 
du paiement]]="",IF(Tableau3453[[#This Row],[Jours]]&gt;30,IF(Tableau3453[[#This Row],[Jours]]&lt;60,Tableau3453[[#This Row],[Montant
de la facture
CHF]],""),""),"")</f>
        <v/>
      </c>
      <c r="P17" s="241" t="str">
        <f>IF(Tableau3453[[#This Row],[Date 
du paiement]]="",IF(Tableau3453[[#This Row],[Jours]]&gt;60,Tableau3453[[#This Row],[Montant
de la facture
CHF]],""),"")</f>
        <v/>
      </c>
      <c r="Q17" s="249"/>
      <c r="R17" s="250" t="str">
        <f>Tableau3453[[#This Row],[Solde 
ouverte
fm]]</f>
        <v/>
      </c>
      <c r="S1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" spans="1:19" hidden="1" x14ac:dyDescent="0.25">
      <c r="A18" s="238">
        <v>230831</v>
      </c>
      <c r="B18" s="239" t="s">
        <v>860</v>
      </c>
      <c r="C18" s="352" t="str">
        <f>IF(Tableau3453[[#This Row],[Date 
du paiement]]="",IF(Tableau3453[[#This Row],[Jours]]&gt;Tableau3453[[#This Row],[Conditions
pmt+]]+5,"oui",""),"")</f>
        <v/>
      </c>
      <c r="D18" s="238" t="s">
        <v>873</v>
      </c>
      <c r="E18" s="240">
        <v>45299</v>
      </c>
      <c r="F18" s="241">
        <v>1137.8</v>
      </c>
      <c r="G18" s="242" t="str">
        <f>IF(Tableau3453[[#This Row],[Date 
du paiement]]="",Tableau3453[[#This Row],[Montant
de la facture
CHF]],"")</f>
        <v/>
      </c>
      <c r="H18" s="243"/>
      <c r="I18" s="245">
        <v>45303</v>
      </c>
      <c r="J18" s="246">
        <v>45321</v>
      </c>
      <c r="K18" s="247" t="s">
        <v>58</v>
      </c>
      <c r="L18" s="248"/>
      <c r="M18" s="248">
        <f>IF(Tableau3453[[#This Row],[Date 
du paiement]]="",$D$4-Tableau3453[[#This Row],[Date
de la facture]],Tableau3453[[#This Row],[Date 
du paiement]]-Tableau3453[[#This Row],[Date
de la facture]])</f>
        <v>22</v>
      </c>
      <c r="N18" s="241" t="str">
        <f>IF(Tableau3453[[#This Row],[Date 
du paiement]]="",IF(Tableau3453[[#This Row],[Jours]]&lt;30,Tableau3453[[#This Row],[Montant
de la facture
CHF]],""),"")</f>
        <v/>
      </c>
      <c r="O18" s="241" t="str">
        <f>IF(Tableau3453[[#This Row],[Date 
du paiement]]="",IF(Tableau3453[[#This Row],[Jours]]&gt;30,IF(Tableau3453[[#This Row],[Jours]]&lt;60,Tableau3453[[#This Row],[Montant
de la facture
CHF]],""),""),"")</f>
        <v/>
      </c>
      <c r="P18" s="241" t="str">
        <f>IF(Tableau3453[[#This Row],[Date 
du paiement]]="",IF(Tableau3453[[#This Row],[Jours]]&gt;60,Tableau3453[[#This Row],[Montant
de la facture
CHF]],""),"")</f>
        <v/>
      </c>
      <c r="Q18" s="249"/>
      <c r="R18" s="250" t="str">
        <f>Tableau3453[[#This Row],[Solde 
ouverte
fm]]</f>
        <v/>
      </c>
      <c r="S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" spans="1:19" hidden="1" x14ac:dyDescent="0.25">
      <c r="A19" s="238">
        <v>230823</v>
      </c>
      <c r="B19" s="239" t="s">
        <v>860</v>
      </c>
      <c r="C19" s="352" t="str">
        <f>IF(Tableau3453[[#This Row],[Date 
du paiement]]="",IF(Tableau3453[[#This Row],[Jours]]&gt;Tableau3453[[#This Row],[Conditions
pmt+]]+5,"oui",""),"")</f>
        <v/>
      </c>
      <c r="D19" s="238" t="s">
        <v>874</v>
      </c>
      <c r="E19" s="240">
        <v>45300</v>
      </c>
      <c r="F19" s="241">
        <v>3556.35</v>
      </c>
      <c r="G19" s="242" t="str">
        <f>IF(Tableau3453[[#This Row],[Date 
du paiement]]="",Tableau3453[[#This Row],[Montant
de la facture
CHF]],"")</f>
        <v/>
      </c>
      <c r="H19" s="243"/>
      <c r="I19" s="245">
        <v>45303</v>
      </c>
      <c r="J19" s="246">
        <v>45337</v>
      </c>
      <c r="K19" s="247" t="s">
        <v>58</v>
      </c>
      <c r="L19" s="248">
        <v>1</v>
      </c>
      <c r="M19" s="248">
        <f>IF(Tableau3453[[#This Row],[Date 
du paiement]]="",$D$4-Tableau3453[[#This Row],[Date
de la facture]],Tableau3453[[#This Row],[Date 
du paiement]]-Tableau3453[[#This Row],[Date
de la facture]])</f>
        <v>37</v>
      </c>
      <c r="N19" s="241" t="str">
        <f>IF(Tableau3453[[#This Row],[Date 
du paiement]]="",IF(Tableau3453[[#This Row],[Jours]]&lt;30,Tableau3453[[#This Row],[Montant
de la facture
CHF]],""),"")</f>
        <v/>
      </c>
      <c r="O19" s="241" t="str">
        <f>IF(Tableau3453[[#This Row],[Date 
du paiement]]="",IF(Tableau3453[[#This Row],[Jours]]&gt;30,IF(Tableau3453[[#This Row],[Jours]]&lt;60,Tableau3453[[#This Row],[Montant
de la facture
CHF]],""),""),"")</f>
        <v/>
      </c>
      <c r="P19" s="241" t="str">
        <f>IF(Tableau3453[[#This Row],[Date 
du paiement]]="",IF(Tableau3453[[#This Row],[Jours]]&gt;60,Tableau3453[[#This Row],[Montant
de la facture
CHF]],""),"")</f>
        <v/>
      </c>
      <c r="Q19" s="249"/>
      <c r="R19" s="250" t="str">
        <f>Tableau3453[[#This Row],[Solde 
ouverte
fm]]</f>
        <v/>
      </c>
      <c r="S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" spans="1:19" hidden="1" x14ac:dyDescent="0.25">
      <c r="A20" s="238">
        <v>240004</v>
      </c>
      <c r="B20" s="239" t="s">
        <v>860</v>
      </c>
      <c r="C20" s="352" t="str">
        <f>IF(Tableau3453[[#This Row],[Date 
du paiement]]="",IF(Tableau3453[[#This Row],[Jours]]&gt;Tableau3453[[#This Row],[Conditions
pmt+]]+5,"oui",""),"")</f>
        <v/>
      </c>
      <c r="D20" s="238" t="s">
        <v>875</v>
      </c>
      <c r="E20" s="240">
        <v>45300</v>
      </c>
      <c r="F20" s="241">
        <v>1086.7</v>
      </c>
      <c r="G20" s="242" t="str">
        <f>IF(Tableau3453[[#This Row],[Date 
du paiement]]="",Tableau3453[[#This Row],[Montant
de la facture
CHF]],"")</f>
        <v/>
      </c>
      <c r="H20" s="243"/>
      <c r="I20" s="245">
        <v>45303</v>
      </c>
      <c r="J20" s="246">
        <v>45336</v>
      </c>
      <c r="K20" s="247" t="s">
        <v>58</v>
      </c>
      <c r="L20" s="248"/>
      <c r="M20" s="248">
        <f>IF(Tableau3453[[#This Row],[Date 
du paiement]]="",$D$4-Tableau3453[[#This Row],[Date
de la facture]],Tableau3453[[#This Row],[Date 
du paiement]]-Tableau3453[[#This Row],[Date
de la facture]])</f>
        <v>36</v>
      </c>
      <c r="N20" s="241" t="str">
        <f>IF(Tableau3453[[#This Row],[Date 
du paiement]]="",IF(Tableau3453[[#This Row],[Jours]]&lt;30,Tableau3453[[#This Row],[Montant
de la facture
CHF]],""),"")</f>
        <v/>
      </c>
      <c r="O20" s="241" t="str">
        <f>IF(Tableau3453[[#This Row],[Date 
du paiement]]="",IF(Tableau3453[[#This Row],[Jours]]&gt;30,IF(Tableau3453[[#This Row],[Jours]]&lt;60,Tableau3453[[#This Row],[Montant
de la facture
CHF]],""),""),"")</f>
        <v/>
      </c>
      <c r="P20" s="241" t="str">
        <f>IF(Tableau3453[[#This Row],[Date 
du paiement]]="",IF(Tableau3453[[#This Row],[Jours]]&gt;60,Tableau3453[[#This Row],[Montant
de la facture
CHF]],""),"")</f>
        <v/>
      </c>
      <c r="Q20" s="249"/>
      <c r="R20" s="250" t="str">
        <f>Tableau3453[[#This Row],[Solde 
ouverte
fm]]</f>
        <v/>
      </c>
      <c r="S2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" spans="1:19" hidden="1" x14ac:dyDescent="0.25">
      <c r="A21" s="238">
        <v>230829</v>
      </c>
      <c r="B21" s="239" t="s">
        <v>860</v>
      </c>
      <c r="C21" s="352" t="str">
        <f>IF(Tableau3453[[#This Row],[Date 
du paiement]]="",IF(Tableau3453[[#This Row],[Jours]]&gt;Tableau3453[[#This Row],[Conditions
pmt+]]+5,"oui",""),"")</f>
        <v/>
      </c>
      <c r="D21" s="238" t="s">
        <v>876</v>
      </c>
      <c r="E21" s="240">
        <v>45301</v>
      </c>
      <c r="F21" s="241">
        <v>4840.75</v>
      </c>
      <c r="G21" s="242" t="str">
        <f>IF(Tableau3453[[#This Row],[Date 
du paiement]]="",Tableau3453[[#This Row],[Montant
de la facture
CHF]],"")</f>
        <v/>
      </c>
      <c r="H21" s="243"/>
      <c r="I21" s="245">
        <v>45309</v>
      </c>
      <c r="J21" s="246">
        <v>45364</v>
      </c>
      <c r="K21" s="247" t="s">
        <v>58</v>
      </c>
      <c r="L21" s="248"/>
      <c r="M21" s="248">
        <f>IF(Tableau3453[[#This Row],[Date 
du paiement]]="",$D$4-Tableau3453[[#This Row],[Date
de la facture]],Tableau3453[[#This Row],[Date 
du paiement]]-Tableau3453[[#This Row],[Date
de la facture]])</f>
        <v>63</v>
      </c>
      <c r="N21" s="241" t="str">
        <f>IF(Tableau3453[[#This Row],[Date 
du paiement]]="",IF(Tableau3453[[#This Row],[Jours]]&lt;30,Tableau3453[[#This Row],[Montant
de la facture
CHF]],""),"")</f>
        <v/>
      </c>
      <c r="O21" s="241" t="str">
        <f>IF(Tableau3453[[#This Row],[Date 
du paiement]]="",IF(Tableau3453[[#This Row],[Jours]]&gt;30,IF(Tableau3453[[#This Row],[Jours]]&lt;60,Tableau3453[[#This Row],[Montant
de la facture
CHF]],""),""),"")</f>
        <v/>
      </c>
      <c r="P21" s="241" t="str">
        <f>IF(Tableau3453[[#This Row],[Date 
du paiement]]="",IF(Tableau3453[[#This Row],[Jours]]&gt;60,Tableau3453[[#This Row],[Montant
de la facture
CHF]],""),"")</f>
        <v/>
      </c>
      <c r="Q21" s="249"/>
      <c r="R21" s="250" t="str">
        <f>Tableau3453[[#This Row],[Solde 
ouverte
fm]]</f>
        <v/>
      </c>
      <c r="S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" spans="1:19" hidden="1" x14ac:dyDescent="0.25">
      <c r="A22" s="238">
        <v>240009</v>
      </c>
      <c r="B22" s="239" t="s">
        <v>860</v>
      </c>
      <c r="C22" s="352" t="str">
        <f>IF(Tableau3453[[#This Row],[Date 
du paiement]]="",IF(Tableau3453[[#This Row],[Jours]]&gt;Tableau3453[[#This Row],[Conditions
pmt+]]+5,"oui",""),"")</f>
        <v/>
      </c>
      <c r="D22" s="238" t="s">
        <v>877</v>
      </c>
      <c r="E22" s="240">
        <v>45302</v>
      </c>
      <c r="F22" s="241">
        <v>676.15</v>
      </c>
      <c r="G22" s="242" t="str">
        <f>IF(Tableau3453[[#This Row],[Date 
du paiement]]="",Tableau3453[[#This Row],[Montant
de la facture
CHF]],"")</f>
        <v/>
      </c>
      <c r="H22" s="243" t="s">
        <v>878</v>
      </c>
      <c r="I22" s="245">
        <v>45303</v>
      </c>
      <c r="J22" s="246">
        <v>45414</v>
      </c>
      <c r="K22" s="247" t="s">
        <v>58</v>
      </c>
      <c r="L22" s="255">
        <v>3</v>
      </c>
      <c r="M22" s="248">
        <f>IF(Tableau3453[[#This Row],[Date 
du paiement]]="",$D$4-Tableau3453[[#This Row],[Date
de la facture]],Tableau3453[[#This Row],[Date 
du paiement]]-Tableau3453[[#This Row],[Date
de la facture]])</f>
        <v>112</v>
      </c>
      <c r="N22" s="241" t="str">
        <f>IF(Tableau3453[[#This Row],[Date 
du paiement]]="",IF(Tableau3453[[#This Row],[Jours]]&lt;30,Tableau3453[[#This Row],[Montant
de la facture
CHF]],""),"")</f>
        <v/>
      </c>
      <c r="O22" s="241" t="str">
        <f>IF(Tableau3453[[#This Row],[Date 
du paiement]]="",IF(Tableau3453[[#This Row],[Jours]]&gt;30,IF(Tableau3453[[#This Row],[Jours]]&lt;60,Tableau3453[[#This Row],[Montant
de la facture
CHF]],""),""),"")</f>
        <v/>
      </c>
      <c r="P22" s="241" t="str">
        <f>IF(Tableau3453[[#This Row],[Date 
du paiement]]="",IF(Tableau3453[[#This Row],[Jours]]&gt;60,Tableau3453[[#This Row],[Montant
de la facture
CHF]],""),"")</f>
        <v/>
      </c>
      <c r="Q22" s="249"/>
      <c r="R22" s="250" t="str">
        <f>Tableau3453[[#This Row],[Solde 
ouverte
fm]]</f>
        <v/>
      </c>
      <c r="S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" spans="1:19" hidden="1" x14ac:dyDescent="0.25">
      <c r="A23" s="238">
        <v>240010</v>
      </c>
      <c r="B23" s="239" t="s">
        <v>860</v>
      </c>
      <c r="C23" s="352" t="str">
        <f>IF(Tableau3453[[#This Row],[Date 
du paiement]]="",IF(Tableau3453[[#This Row],[Jours]]&gt;Tableau3453[[#This Row],[Conditions
pmt+]]+5,"oui",""),"")</f>
        <v/>
      </c>
      <c r="D23" s="238" t="s">
        <v>879</v>
      </c>
      <c r="E23" s="240">
        <v>45302</v>
      </c>
      <c r="F23" s="241">
        <v>1087.8499999999999</v>
      </c>
      <c r="G23" s="242" t="str">
        <f>IF(Tableau3453[[#This Row],[Date 
du paiement]]="",Tableau3453[[#This Row],[Montant
de la facture
CHF]],"")</f>
        <v/>
      </c>
      <c r="H23" s="243"/>
      <c r="I23" s="245">
        <v>45303</v>
      </c>
      <c r="J23" s="246">
        <v>45337</v>
      </c>
      <c r="K23" s="247" t="s">
        <v>58</v>
      </c>
      <c r="L23" s="248"/>
      <c r="M23" s="248">
        <f>IF(Tableau3453[[#This Row],[Date 
du paiement]]="",$D$4-Tableau3453[[#This Row],[Date
de la facture]],Tableau3453[[#This Row],[Date 
du paiement]]-Tableau3453[[#This Row],[Date
de la facture]])</f>
        <v>35</v>
      </c>
      <c r="N23" s="241" t="str">
        <f>IF(Tableau3453[[#This Row],[Date 
du paiement]]="",IF(Tableau3453[[#This Row],[Jours]]&lt;30,Tableau3453[[#This Row],[Montant
de la facture
CHF]],""),"")</f>
        <v/>
      </c>
      <c r="O23" s="241" t="str">
        <f>IF(Tableau3453[[#This Row],[Date 
du paiement]]="",IF(Tableau3453[[#This Row],[Jours]]&gt;30,IF(Tableau3453[[#This Row],[Jours]]&lt;60,Tableau3453[[#This Row],[Montant
de la facture
CHF]],""),""),"")</f>
        <v/>
      </c>
      <c r="P23" s="241" t="str">
        <f>IF(Tableau3453[[#This Row],[Date 
du paiement]]="",IF(Tableau3453[[#This Row],[Jours]]&gt;60,Tableau3453[[#This Row],[Montant
de la facture
CHF]],""),"")</f>
        <v/>
      </c>
      <c r="Q23" s="249"/>
      <c r="R23" s="250" t="str">
        <f>Tableau3453[[#This Row],[Solde 
ouverte
fm]]</f>
        <v/>
      </c>
      <c r="S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" spans="1:19" hidden="1" x14ac:dyDescent="0.25">
      <c r="A24" s="238">
        <v>240012</v>
      </c>
      <c r="B24" s="239" t="s">
        <v>860</v>
      </c>
      <c r="C24" s="352" t="str">
        <f>IF(Tableau3453[[#This Row],[Date 
du paiement]]="",IF(Tableau3453[[#This Row],[Jours]]&gt;Tableau3453[[#This Row],[Conditions
pmt+]]+5,"oui",""),"")</f>
        <v/>
      </c>
      <c r="D24" s="238" t="s">
        <v>880</v>
      </c>
      <c r="E24" s="240">
        <v>45302</v>
      </c>
      <c r="F24" s="241">
        <v>238.85</v>
      </c>
      <c r="G24" s="242" t="str">
        <f>IF(Tableau3453[[#This Row],[Date 
du paiement]]="",Tableau3453[[#This Row],[Montant
de la facture
CHF]],"")</f>
        <v/>
      </c>
      <c r="H24" s="243"/>
      <c r="I24" s="245">
        <v>45303</v>
      </c>
      <c r="J24" s="246">
        <v>45328</v>
      </c>
      <c r="K24" s="247" t="s">
        <v>58</v>
      </c>
      <c r="L24" s="248"/>
      <c r="M24" s="248">
        <f>IF(Tableau3453[[#This Row],[Date 
du paiement]]="",$D$4-Tableau3453[[#This Row],[Date
de la facture]],Tableau3453[[#This Row],[Date 
du paiement]]-Tableau3453[[#This Row],[Date
de la facture]])</f>
        <v>26</v>
      </c>
      <c r="N24" s="241" t="str">
        <f>IF(Tableau3453[[#This Row],[Date 
du paiement]]="",IF(Tableau3453[[#This Row],[Jours]]&lt;30,Tableau3453[[#This Row],[Montant
de la facture
CHF]],""),"")</f>
        <v/>
      </c>
      <c r="O24" s="241" t="str">
        <f>IF(Tableau3453[[#This Row],[Date 
du paiement]]="",IF(Tableau3453[[#This Row],[Jours]]&gt;30,IF(Tableau3453[[#This Row],[Jours]]&lt;60,Tableau3453[[#This Row],[Montant
de la facture
CHF]],""),""),"")</f>
        <v/>
      </c>
      <c r="P24" s="241" t="str">
        <f>IF(Tableau3453[[#This Row],[Date 
du paiement]]="",IF(Tableau3453[[#This Row],[Jours]]&gt;60,Tableau3453[[#This Row],[Montant
de la facture
CHF]],""),"")</f>
        <v/>
      </c>
      <c r="Q24" s="249"/>
      <c r="R24" s="250" t="str">
        <f>Tableau3453[[#This Row],[Solde 
ouverte
fm]]</f>
        <v/>
      </c>
      <c r="S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" spans="1:19" hidden="1" outlineLevel="1" x14ac:dyDescent="0.25">
      <c r="A25" s="238">
        <v>230607</v>
      </c>
      <c r="B25" s="239" t="s">
        <v>860</v>
      </c>
      <c r="C25" s="352" t="str">
        <f>IF(Tableau3453[[#This Row],[Date 
du paiement]]="",IF(Tableau3453[[#This Row],[Jours]]&gt;Tableau3453[[#This Row],[Conditions
pmt+]]+5,"oui",""),"")</f>
        <v/>
      </c>
      <c r="D25" s="238" t="s">
        <v>881</v>
      </c>
      <c r="E25" s="240">
        <v>45302</v>
      </c>
      <c r="F25" s="241">
        <v>5356.3</v>
      </c>
      <c r="G25" s="242" t="str">
        <f>IF(Tableau3453[[#This Row],[Date 
du paiement]]="",Tableau3453[[#This Row],[Montant
de la facture
CHF]],"")</f>
        <v/>
      </c>
      <c r="H25" s="243" t="s">
        <v>882</v>
      </c>
      <c r="I25" s="245">
        <v>45363</v>
      </c>
      <c r="J25" s="246">
        <v>45294</v>
      </c>
      <c r="K25" s="247" t="s">
        <v>58</v>
      </c>
      <c r="L25" s="248"/>
      <c r="M25" s="248">
        <f>IF(Tableau3453[[#This Row],[Date 
du paiement]]="",$D$4-Tableau3453[[#This Row],[Date
de la facture]],Tableau3453[[#This Row],[Date 
du paiement]]-Tableau3453[[#This Row],[Date
de la facture]])</f>
        <v>-8</v>
      </c>
      <c r="N25" s="241" t="str">
        <f>IF(Tableau3453[[#This Row],[Date 
du paiement]]="",IF(Tableau3453[[#This Row],[Jours]]&lt;30,Tableau3453[[#This Row],[Montant
de la facture
CHF]],""),"")</f>
        <v/>
      </c>
      <c r="O25" s="241" t="str">
        <f>IF(Tableau3453[[#This Row],[Date 
du paiement]]="",IF(Tableau3453[[#This Row],[Jours]]&gt;30,IF(Tableau3453[[#This Row],[Jours]]&lt;60,Tableau3453[[#This Row],[Montant
de la facture
CHF]],""),""),"")</f>
        <v/>
      </c>
      <c r="P25" s="241" t="str">
        <f>IF(Tableau3453[[#This Row],[Date 
du paiement]]="",IF(Tableau3453[[#This Row],[Jours]]&gt;60,Tableau3453[[#This Row],[Montant
de la facture
CHF]],""),"")</f>
        <v/>
      </c>
      <c r="Q25" s="249"/>
      <c r="R25" s="267" t="str">
        <f>Tableau3453[[#This Row],[Solde 
ouverte
fm]]</f>
        <v/>
      </c>
      <c r="S2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" spans="1:19" hidden="1" outlineLevel="1" x14ac:dyDescent="0.25">
      <c r="A26" s="238">
        <v>230607</v>
      </c>
      <c r="B26" s="239" t="s">
        <v>860</v>
      </c>
      <c r="C26" s="352" t="str">
        <f>IF(Tableau3453[[#This Row],[Date 
du paiement]]="",IF(Tableau3453[[#This Row],[Jours]]&gt;Tableau3453[[#This Row],[Conditions
pmt+]]+5,"oui",""),"")</f>
        <v/>
      </c>
      <c r="D26" s="238" t="s">
        <v>881</v>
      </c>
      <c r="E26" s="240">
        <v>45302</v>
      </c>
      <c r="F26" s="241">
        <v>5356.3</v>
      </c>
      <c r="G26" s="242" t="str">
        <f>IF(Tableau3453[[#This Row],[Date 
du paiement]]="",Tableau3453[[#This Row],[Montant
de la facture
CHF]],"")</f>
        <v/>
      </c>
      <c r="H26" s="243"/>
      <c r="I26" s="245">
        <v>45363</v>
      </c>
      <c r="J26" s="246">
        <v>45294</v>
      </c>
      <c r="K26" s="247" t="s">
        <v>58</v>
      </c>
      <c r="L26" s="248"/>
      <c r="M26" s="248">
        <f>IF(Tableau3453[[#This Row],[Date 
du paiement]]="",$D$4-Tableau3453[[#This Row],[Date
de la facture]],Tableau3453[[#This Row],[Date 
du paiement]]-Tableau3453[[#This Row],[Date
de la facture]])</f>
        <v>-8</v>
      </c>
      <c r="N26" s="241" t="str">
        <f>IF(Tableau3453[[#This Row],[Date 
du paiement]]="",IF(Tableau3453[[#This Row],[Jours]]&lt;30,Tableau3453[[#This Row],[Montant
de la facture
CHF]],""),"")</f>
        <v/>
      </c>
      <c r="O26" s="241" t="str">
        <f>IF(Tableau3453[[#This Row],[Date 
du paiement]]="",IF(Tableau3453[[#This Row],[Jours]]&gt;30,IF(Tableau3453[[#This Row],[Jours]]&lt;60,Tableau3453[[#This Row],[Montant
de la facture
CHF]],""),""),"")</f>
        <v/>
      </c>
      <c r="P26" s="241" t="str">
        <f>IF(Tableau3453[[#This Row],[Date 
du paiement]]="",IF(Tableau3453[[#This Row],[Jours]]&gt;60,Tableau3453[[#This Row],[Montant
de la facture
CHF]],""),"")</f>
        <v/>
      </c>
      <c r="Q26" s="249"/>
      <c r="R26" s="267" t="str">
        <f>Tableau3453[[#This Row],[Solde 
ouverte
fm]]</f>
        <v/>
      </c>
      <c r="S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" spans="1:19" hidden="1" outlineLevel="1" x14ac:dyDescent="0.25">
      <c r="A27" s="238">
        <v>240014</v>
      </c>
      <c r="B27" s="239" t="s">
        <v>860</v>
      </c>
      <c r="C27" s="352" t="str">
        <f>IF(Tableau3453[[#This Row],[Date 
du paiement]]="",IF(Tableau3453[[#This Row],[Jours]]&gt;Tableau3453[[#This Row],[Conditions
pmt+]]+5,"oui",""),"")</f>
        <v/>
      </c>
      <c r="D27" s="238" t="s">
        <v>880</v>
      </c>
      <c r="E27" s="240">
        <v>45303</v>
      </c>
      <c r="F27" s="241">
        <v>3938.25</v>
      </c>
      <c r="G27" s="242" t="str">
        <f>IF(Tableau3453[[#This Row],[Date 
du paiement]]="",Tableau3453[[#This Row],[Montant
de la facture
CHF]],"")</f>
        <v/>
      </c>
      <c r="H27" s="243"/>
      <c r="I27" s="245">
        <v>45303</v>
      </c>
      <c r="J27" s="246">
        <v>45328</v>
      </c>
      <c r="K27" s="247" t="s">
        <v>58</v>
      </c>
      <c r="L27" s="248"/>
      <c r="M27" s="248">
        <f>IF(Tableau3453[[#This Row],[Date 
du paiement]]="",$D$4-Tableau3453[[#This Row],[Date
de la facture]],Tableau3453[[#This Row],[Date 
du paiement]]-Tableau3453[[#This Row],[Date
de la facture]])</f>
        <v>25</v>
      </c>
      <c r="N27" s="241" t="str">
        <f>IF(Tableau3453[[#This Row],[Date 
du paiement]]="",IF(Tableau3453[[#This Row],[Jours]]&lt;30,Tableau3453[[#This Row],[Montant
de la facture
CHF]],""),"")</f>
        <v/>
      </c>
      <c r="O27" s="241" t="str">
        <f>IF(Tableau3453[[#This Row],[Date 
du paiement]]="",IF(Tableau3453[[#This Row],[Jours]]&gt;30,IF(Tableau3453[[#This Row],[Jours]]&lt;60,Tableau3453[[#This Row],[Montant
de la facture
CHF]],""),""),"")</f>
        <v/>
      </c>
      <c r="P27" s="241" t="str">
        <f>IF(Tableau3453[[#This Row],[Date 
du paiement]]="",IF(Tableau3453[[#This Row],[Jours]]&gt;60,Tableau3453[[#This Row],[Montant
de la facture
CHF]],""),"")</f>
        <v/>
      </c>
      <c r="Q27" s="249"/>
      <c r="R27" s="250" t="str">
        <f>Tableau3453[[#This Row],[Solde 
ouverte
fm]]</f>
        <v/>
      </c>
      <c r="S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" spans="1:19" hidden="1" outlineLevel="1" x14ac:dyDescent="0.25">
      <c r="A28" s="238">
        <v>240007</v>
      </c>
      <c r="B28" s="239" t="s">
        <v>860</v>
      </c>
      <c r="C28" s="352" t="str">
        <f>IF(Tableau3453[[#This Row],[Date 
du paiement]]="",IF(Tableau3453[[#This Row],[Jours]]&gt;Tableau3453[[#This Row],[Conditions
pmt+]]+5,"oui",""),"")</f>
        <v/>
      </c>
      <c r="D28" s="262" t="s">
        <v>1026</v>
      </c>
      <c r="E28" s="240">
        <v>45303</v>
      </c>
      <c r="F28" s="241">
        <v>508.4</v>
      </c>
      <c r="G28" s="242" t="str">
        <f>IF(Tableau3453[[#This Row],[Date 
du paiement]]="",Tableau3453[[#This Row],[Montant
de la facture
CHF]],"")</f>
        <v/>
      </c>
      <c r="H28" s="243"/>
      <c r="I28" s="245">
        <v>45303</v>
      </c>
      <c r="J28" s="246">
        <v>45313</v>
      </c>
      <c r="K28" s="247" t="s">
        <v>58</v>
      </c>
      <c r="L28" s="248"/>
      <c r="M28" s="248">
        <f>IF(Tableau3453[[#This Row],[Date 
du paiement]]="",$D$4-Tableau3453[[#This Row],[Date
de la facture]],Tableau3453[[#This Row],[Date 
du paiement]]-Tableau3453[[#This Row],[Date
de la facture]])</f>
        <v>10</v>
      </c>
      <c r="N28" s="241" t="str">
        <f>IF(Tableau3453[[#This Row],[Date 
du paiement]]="",IF(Tableau3453[[#This Row],[Jours]]&lt;30,Tableau3453[[#This Row],[Montant
de la facture
CHF]],""),"")</f>
        <v/>
      </c>
      <c r="O28" s="241" t="str">
        <f>IF(Tableau3453[[#This Row],[Date 
du paiement]]="",IF(Tableau3453[[#This Row],[Jours]]&gt;30,IF(Tableau3453[[#This Row],[Jours]]&lt;60,Tableau3453[[#This Row],[Montant
de la facture
CHF]],""),""),"")</f>
        <v/>
      </c>
      <c r="P28" s="241" t="str">
        <f>IF(Tableau3453[[#This Row],[Date 
du paiement]]="",IF(Tableau3453[[#This Row],[Jours]]&gt;60,Tableau3453[[#This Row],[Montant
de la facture
CHF]],""),"")</f>
        <v/>
      </c>
      <c r="Q28" s="249"/>
      <c r="R28" s="250" t="str">
        <f>Tableau3453[[#This Row],[Solde 
ouverte
fm]]</f>
        <v/>
      </c>
      <c r="S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" spans="1:19" hidden="1" outlineLevel="1" x14ac:dyDescent="0.25">
      <c r="A29" s="238">
        <v>240002</v>
      </c>
      <c r="B29" s="239" t="s">
        <v>860</v>
      </c>
      <c r="C29" s="352" t="str">
        <f>IF(Tableau3453[[#This Row],[Date 
du paiement]]="",IF(Tableau3453[[#This Row],[Jours]]&gt;Tableau3453[[#This Row],[Conditions
pmt+]]+5,"oui",""),"")</f>
        <v/>
      </c>
      <c r="D29" s="262" t="s">
        <v>1026</v>
      </c>
      <c r="E29" s="240">
        <v>45303</v>
      </c>
      <c r="F29" s="241">
        <v>0</v>
      </c>
      <c r="G29" s="242" t="str">
        <f>IF(Tableau3453[[#This Row],[Date 
du paiement]]="",Tableau3453[[#This Row],[Montant
de la facture
CHF]],"")</f>
        <v/>
      </c>
      <c r="H29" s="243"/>
      <c r="I29" s="245">
        <v>45303</v>
      </c>
      <c r="J29" s="246">
        <v>45303</v>
      </c>
      <c r="K29" s="247" t="s">
        <v>884</v>
      </c>
      <c r="L29" s="248"/>
      <c r="M29" s="248">
        <f>IF(Tableau3453[[#This Row],[Date 
du paiement]]="",$D$4-Tableau3453[[#This Row],[Date
de la facture]],Tableau3453[[#This Row],[Date 
du paiement]]-Tableau3453[[#This Row],[Date
de la facture]])</f>
        <v>0</v>
      </c>
      <c r="N29" s="241" t="str">
        <f>IF(Tableau3453[[#This Row],[Date 
du paiement]]="",IF(Tableau3453[[#This Row],[Jours]]&lt;30,Tableau3453[[#This Row],[Montant
de la facture
CHF]],""),"")</f>
        <v/>
      </c>
      <c r="O29" s="241" t="str">
        <f>IF(Tableau3453[[#This Row],[Date 
du paiement]]="",IF(Tableau3453[[#This Row],[Jours]]&gt;30,IF(Tableau3453[[#This Row],[Jours]]&lt;60,Tableau3453[[#This Row],[Montant
de la facture
CHF]],""),""),"")</f>
        <v/>
      </c>
      <c r="P29" s="241" t="str">
        <f>IF(Tableau3453[[#This Row],[Date 
du paiement]]="",IF(Tableau3453[[#This Row],[Jours]]&gt;60,Tableau3453[[#This Row],[Montant
de la facture
CHF]],""),"")</f>
        <v/>
      </c>
      <c r="Q29" s="249"/>
      <c r="R29" s="250" t="str">
        <f>Tableau3453[[#This Row],[Solde 
ouverte
fm]]</f>
        <v/>
      </c>
      <c r="S2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" spans="1:19" hidden="1" outlineLevel="1" x14ac:dyDescent="0.25">
      <c r="A30" s="238">
        <v>230832</v>
      </c>
      <c r="B30" s="239" t="s">
        <v>860</v>
      </c>
      <c r="C30" s="352" t="str">
        <f>IF(Tableau3453[[#This Row],[Date 
du paiement]]="",IF(Tableau3453[[#This Row],[Jours]]&gt;Tableau3453[[#This Row],[Conditions
pmt+]]+5,"oui",""),"")</f>
        <v/>
      </c>
      <c r="D30" s="253" t="s">
        <v>863</v>
      </c>
      <c r="E30" s="240">
        <v>45306</v>
      </c>
      <c r="F30" s="241">
        <v>3306.8</v>
      </c>
      <c r="G30" s="242" t="str">
        <f>IF(Tableau3453[[#This Row],[Date 
du paiement]]="",Tableau3453[[#This Row],[Montant
de la facture
CHF]],"")</f>
        <v/>
      </c>
      <c r="H30" s="243"/>
      <c r="I30" s="245">
        <v>45307</v>
      </c>
      <c r="J30" s="246">
        <v>45359</v>
      </c>
      <c r="K30" s="247" t="s">
        <v>58</v>
      </c>
      <c r="L30" s="248"/>
      <c r="M30" s="248">
        <f>IF(Tableau3453[[#This Row],[Date 
du paiement]]="",$D$4-Tableau3453[[#This Row],[Date
de la facture]],Tableau3453[[#This Row],[Date 
du paiement]]-Tableau3453[[#This Row],[Date
de la facture]])</f>
        <v>53</v>
      </c>
      <c r="N30" s="241" t="str">
        <f>IF(Tableau3453[[#This Row],[Date 
du paiement]]="",IF(Tableau3453[[#This Row],[Jours]]&lt;30,Tableau3453[[#This Row],[Montant
de la facture
CHF]],""),"")</f>
        <v/>
      </c>
      <c r="O30" s="241" t="str">
        <f>IF(Tableau3453[[#This Row],[Date 
du paiement]]="",IF(Tableau3453[[#This Row],[Jours]]&gt;30,IF(Tableau3453[[#This Row],[Jours]]&lt;60,Tableau3453[[#This Row],[Montant
de la facture
CHF]],""),""),"")</f>
        <v/>
      </c>
      <c r="P30" s="241" t="str">
        <f>IF(Tableau3453[[#This Row],[Date 
du paiement]]="",IF(Tableau3453[[#This Row],[Jours]]&gt;60,Tableau3453[[#This Row],[Montant
de la facture
CHF]],""),"")</f>
        <v/>
      </c>
      <c r="Q30" s="249"/>
      <c r="R30" s="250" t="str">
        <f>Tableau3453[[#This Row],[Solde 
ouverte
fm]]</f>
        <v/>
      </c>
      <c r="S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" spans="1:19" hidden="1" outlineLevel="1" x14ac:dyDescent="0.25">
      <c r="A31" s="238">
        <v>230833</v>
      </c>
      <c r="B31" s="239" t="s">
        <v>860</v>
      </c>
      <c r="C31" s="352" t="str">
        <f>IF(Tableau3453[[#This Row],[Date 
du paiement]]="",IF(Tableau3453[[#This Row],[Jours]]&gt;Tableau3453[[#This Row],[Conditions
pmt+]]+5,"oui",""),"")</f>
        <v/>
      </c>
      <c r="D31" s="238" t="s">
        <v>879</v>
      </c>
      <c r="E31" s="240">
        <v>45306</v>
      </c>
      <c r="F31" s="241">
        <v>543.95000000000005</v>
      </c>
      <c r="G31" s="242" t="str">
        <f>IF(Tableau3453[[#This Row],[Date 
du paiement]]="",Tableau3453[[#This Row],[Montant
de la facture
CHF]],"")</f>
        <v/>
      </c>
      <c r="H31" s="243"/>
      <c r="I31" s="245">
        <v>45307</v>
      </c>
      <c r="J31" s="246">
        <v>45337</v>
      </c>
      <c r="K31" s="247" t="s">
        <v>58</v>
      </c>
      <c r="L31" s="248"/>
      <c r="M31" s="248">
        <f>IF(Tableau3453[[#This Row],[Date 
du paiement]]="",$D$4-Tableau3453[[#This Row],[Date
de la facture]],Tableau3453[[#This Row],[Date 
du paiement]]-Tableau3453[[#This Row],[Date
de la facture]])</f>
        <v>31</v>
      </c>
      <c r="N31" s="241" t="str">
        <f>IF(Tableau3453[[#This Row],[Date 
du paiement]]="",IF(Tableau3453[[#This Row],[Jours]]&lt;30,Tableau3453[[#This Row],[Montant
de la facture
CHF]],""),"")</f>
        <v/>
      </c>
      <c r="O31" s="241" t="str">
        <f>IF(Tableau3453[[#This Row],[Date 
du paiement]]="",IF(Tableau3453[[#This Row],[Jours]]&gt;30,IF(Tableau3453[[#This Row],[Jours]]&lt;60,Tableau3453[[#This Row],[Montant
de la facture
CHF]],""),""),"")</f>
        <v/>
      </c>
      <c r="P31" s="241" t="str">
        <f>IF(Tableau3453[[#This Row],[Date 
du paiement]]="",IF(Tableau3453[[#This Row],[Jours]]&gt;60,Tableau3453[[#This Row],[Montant
de la facture
CHF]],""),"")</f>
        <v/>
      </c>
      <c r="Q31" s="249"/>
      <c r="R31" s="250" t="str">
        <f>Tableau3453[[#This Row],[Solde 
ouverte
fm]]</f>
        <v/>
      </c>
      <c r="S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" spans="1:19" hidden="1" outlineLevel="1" x14ac:dyDescent="0.25">
      <c r="A32" s="238">
        <v>230705</v>
      </c>
      <c r="B32" s="239" t="s">
        <v>860</v>
      </c>
      <c r="C32" s="352" t="str">
        <f>IF(Tableau3453[[#This Row],[Date 
du paiement]]="",IF(Tableau3453[[#This Row],[Jours]]&gt;Tableau3453[[#This Row],[Conditions
pmt+]]+5,"oui",""),"")</f>
        <v/>
      </c>
      <c r="D32" s="238" t="s">
        <v>879</v>
      </c>
      <c r="E32" s="240">
        <v>45306</v>
      </c>
      <c r="F32" s="241">
        <v>9587.25</v>
      </c>
      <c r="G32" s="242" t="str">
        <f>IF(Tableau3453[[#This Row],[Date 
du paiement]]="",Tableau3453[[#This Row],[Montant
de la facture
CHF]],"")</f>
        <v/>
      </c>
      <c r="H32" s="243"/>
      <c r="I32" s="245">
        <v>45307</v>
      </c>
      <c r="J32" s="246">
        <v>45337</v>
      </c>
      <c r="K32" s="247" t="s">
        <v>58</v>
      </c>
      <c r="L32" s="248"/>
      <c r="M32" s="248">
        <f>IF(Tableau3453[[#This Row],[Date 
du paiement]]="",$D$4-Tableau3453[[#This Row],[Date
de la facture]],Tableau3453[[#This Row],[Date 
du paiement]]-Tableau3453[[#This Row],[Date
de la facture]])</f>
        <v>31</v>
      </c>
      <c r="N32" s="241" t="str">
        <f>IF(Tableau3453[[#This Row],[Date 
du paiement]]="",IF(Tableau3453[[#This Row],[Jours]]&lt;30,Tableau3453[[#This Row],[Montant
de la facture
CHF]],""),"")</f>
        <v/>
      </c>
      <c r="O32" s="241" t="str">
        <f>IF(Tableau3453[[#This Row],[Date 
du paiement]]="",IF(Tableau3453[[#This Row],[Jours]]&gt;30,IF(Tableau3453[[#This Row],[Jours]]&lt;60,Tableau3453[[#This Row],[Montant
de la facture
CHF]],""),""),"")</f>
        <v/>
      </c>
      <c r="P32" s="241" t="str">
        <f>IF(Tableau3453[[#This Row],[Date 
du paiement]]="",IF(Tableau3453[[#This Row],[Jours]]&gt;60,Tableau3453[[#This Row],[Montant
de la facture
CHF]],""),"")</f>
        <v/>
      </c>
      <c r="Q32" s="249"/>
      <c r="R32" s="250" t="str">
        <f>Tableau3453[[#This Row],[Solde 
ouverte
fm]]</f>
        <v/>
      </c>
      <c r="S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" spans="1:19" hidden="1" outlineLevel="1" x14ac:dyDescent="0.25">
      <c r="A33" s="238">
        <v>240000</v>
      </c>
      <c r="B33" s="239" t="s">
        <v>860</v>
      </c>
      <c r="C33" s="352" t="str">
        <f>IF(Tableau3453[[#This Row],[Date 
du paiement]]="",IF(Tableau3453[[#This Row],[Jours]]&gt;Tableau3453[[#This Row],[Conditions
pmt+]]+5,"oui",""),"")</f>
        <v/>
      </c>
      <c r="D33" s="238" t="s">
        <v>380</v>
      </c>
      <c r="E33" s="240">
        <v>45306</v>
      </c>
      <c r="F33" s="241">
        <v>316.75</v>
      </c>
      <c r="G33" s="242" t="str">
        <f>IF(Tableau3453[[#This Row],[Date 
du paiement]]="",Tableau3453[[#This Row],[Montant
de la facture
CHF]],"")</f>
        <v/>
      </c>
      <c r="H33" s="243"/>
      <c r="I33" s="245">
        <v>45307</v>
      </c>
      <c r="J33" s="246">
        <v>45322</v>
      </c>
      <c r="K33" s="247" t="s">
        <v>58</v>
      </c>
      <c r="L33" s="248"/>
      <c r="M33" s="248">
        <f>IF(Tableau3453[[#This Row],[Date 
du paiement]]="",$D$4-Tableau3453[[#This Row],[Date
de la facture]],Tableau3453[[#This Row],[Date 
du paiement]]-Tableau3453[[#This Row],[Date
de la facture]])</f>
        <v>16</v>
      </c>
      <c r="N33" s="241" t="str">
        <f>IF(Tableau3453[[#This Row],[Date 
du paiement]]="",IF(Tableau3453[[#This Row],[Jours]]&lt;30,Tableau3453[[#This Row],[Montant
de la facture
CHF]],""),"")</f>
        <v/>
      </c>
      <c r="O33" s="241" t="str">
        <f>IF(Tableau3453[[#This Row],[Date 
du paiement]]="",IF(Tableau3453[[#This Row],[Jours]]&gt;30,IF(Tableau3453[[#This Row],[Jours]]&lt;60,Tableau3453[[#This Row],[Montant
de la facture
CHF]],""),""),"")</f>
        <v/>
      </c>
      <c r="P33" s="241" t="str">
        <f>IF(Tableau3453[[#This Row],[Date 
du paiement]]="",IF(Tableau3453[[#This Row],[Jours]]&gt;60,Tableau3453[[#This Row],[Montant
de la facture
CHF]],""),"")</f>
        <v/>
      </c>
      <c r="Q33" s="249"/>
      <c r="R33" s="250" t="str">
        <f>Tableau3453[[#This Row],[Solde 
ouverte
fm]]</f>
        <v/>
      </c>
      <c r="S3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" spans="1:19" hidden="1" outlineLevel="1" x14ac:dyDescent="0.25">
      <c r="A34" s="238">
        <v>240005</v>
      </c>
      <c r="B34" s="239" t="s">
        <v>860</v>
      </c>
      <c r="C34" s="352" t="str">
        <f>IF(Tableau3453[[#This Row],[Date 
du paiement]]="",IF(Tableau3453[[#This Row],[Jours]]&gt;Tableau3453[[#This Row],[Conditions
pmt+]]+5,"oui",""),"")</f>
        <v/>
      </c>
      <c r="D34" s="251" t="s">
        <v>885</v>
      </c>
      <c r="E34" s="240">
        <v>45306</v>
      </c>
      <c r="F34" s="241">
        <v>1952.35</v>
      </c>
      <c r="G34" s="242" t="str">
        <f>IF(Tableau3453[[#This Row],[Date 
du paiement]]="",Tableau3453[[#This Row],[Montant
de la facture
CHF]],"")</f>
        <v/>
      </c>
      <c r="H34" s="243"/>
      <c r="I34" s="245">
        <v>45307</v>
      </c>
      <c r="J34" s="246">
        <v>45315</v>
      </c>
      <c r="K34" s="247" t="s">
        <v>58</v>
      </c>
      <c r="L34" s="248"/>
      <c r="M34" s="248">
        <f>IF(Tableau3453[[#This Row],[Date 
du paiement]]="",$D$4-Tableau3453[[#This Row],[Date
de la facture]],Tableau3453[[#This Row],[Date 
du paiement]]-Tableau3453[[#This Row],[Date
de la facture]])</f>
        <v>9</v>
      </c>
      <c r="N34" s="241" t="str">
        <f>IF(Tableau3453[[#This Row],[Date 
du paiement]]="",IF(Tableau3453[[#This Row],[Jours]]&lt;30,Tableau3453[[#This Row],[Montant
de la facture
CHF]],""),"")</f>
        <v/>
      </c>
      <c r="O34" s="241" t="str">
        <f>IF(Tableau3453[[#This Row],[Date 
du paiement]]="",IF(Tableau3453[[#This Row],[Jours]]&gt;30,IF(Tableau3453[[#This Row],[Jours]]&lt;60,Tableau3453[[#This Row],[Montant
de la facture
CHF]],""),""),"")</f>
        <v/>
      </c>
      <c r="P34" s="241" t="str">
        <f>IF(Tableau3453[[#This Row],[Date 
du paiement]]="",IF(Tableau3453[[#This Row],[Jours]]&gt;60,Tableau3453[[#This Row],[Montant
de la facture
CHF]],""),"")</f>
        <v/>
      </c>
      <c r="Q34" s="249"/>
      <c r="R34" s="250" t="str">
        <f>Tableau3453[[#This Row],[Solde 
ouverte
fm]]</f>
        <v/>
      </c>
      <c r="S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" spans="1:19" hidden="1" outlineLevel="1" x14ac:dyDescent="0.25">
      <c r="A35" s="238">
        <v>240017</v>
      </c>
      <c r="B35" s="239" t="s">
        <v>860</v>
      </c>
      <c r="C35" s="352" t="str">
        <f>IF(Tableau3453[[#This Row],[Date 
du paiement]]="",IF(Tableau3453[[#This Row],[Jours]]&gt;Tableau3453[[#This Row],[Conditions
pmt+]]+5,"oui",""),"")</f>
        <v/>
      </c>
      <c r="D35" s="251" t="s">
        <v>885</v>
      </c>
      <c r="E35" s="240">
        <v>45306</v>
      </c>
      <c r="F35" s="241">
        <v>1918.5</v>
      </c>
      <c r="G35" s="242" t="str">
        <f>IF(Tableau3453[[#This Row],[Date 
du paiement]]="",Tableau3453[[#This Row],[Montant
de la facture
CHF]],"")</f>
        <v/>
      </c>
      <c r="H35" s="243"/>
      <c r="I35" s="245">
        <v>45307</v>
      </c>
      <c r="J35" s="246">
        <v>45315</v>
      </c>
      <c r="K35" s="247" t="s">
        <v>58</v>
      </c>
      <c r="L35" s="248"/>
      <c r="M35" s="248">
        <f>IF(Tableau3453[[#This Row],[Date 
du paiement]]="",$D$4-Tableau3453[[#This Row],[Date
de la facture]],Tableau3453[[#This Row],[Date 
du paiement]]-Tableau3453[[#This Row],[Date
de la facture]])</f>
        <v>9</v>
      </c>
      <c r="N35" s="241" t="str">
        <f>IF(Tableau3453[[#This Row],[Date 
du paiement]]="",IF(Tableau3453[[#This Row],[Jours]]&lt;30,Tableau3453[[#This Row],[Montant
de la facture
CHF]],""),"")</f>
        <v/>
      </c>
      <c r="O35" s="241" t="str">
        <f>IF(Tableau3453[[#This Row],[Date 
du paiement]]="",IF(Tableau3453[[#This Row],[Jours]]&gt;30,IF(Tableau3453[[#This Row],[Jours]]&lt;60,Tableau3453[[#This Row],[Montant
de la facture
CHF]],""),""),"")</f>
        <v/>
      </c>
      <c r="P35" s="241" t="str">
        <f>IF(Tableau3453[[#This Row],[Date 
du paiement]]="",IF(Tableau3453[[#This Row],[Jours]]&gt;60,Tableau3453[[#This Row],[Montant
de la facture
CHF]],""),"")</f>
        <v/>
      </c>
      <c r="Q35" s="249"/>
      <c r="R35" s="250" t="str">
        <f>Tableau3453[[#This Row],[Solde 
ouverte
fm]]</f>
        <v/>
      </c>
      <c r="S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" spans="1:19" hidden="1" outlineLevel="1" x14ac:dyDescent="0.25">
      <c r="A36" s="238">
        <v>240018</v>
      </c>
      <c r="B36" s="239" t="s">
        <v>857</v>
      </c>
      <c r="C36" s="352" t="str">
        <f>IF(Tableau3453[[#This Row],[Date 
du paiement]]="",IF(Tableau3453[[#This Row],[Jours]]&gt;Tableau3453[[#This Row],[Conditions
pmt+]]+5,"oui",""),"")</f>
        <v/>
      </c>
      <c r="D36" s="251" t="s">
        <v>865</v>
      </c>
      <c r="E36" s="240">
        <v>45307</v>
      </c>
      <c r="F36" s="241">
        <v>1825.45</v>
      </c>
      <c r="G36" s="242" t="str">
        <f>IF(Tableau3453[[#This Row],[Date 
du paiement]]="",Tableau3453[[#This Row],[Montant
de la facture
CHF]],"")</f>
        <v/>
      </c>
      <c r="H36" s="243"/>
      <c r="I36" s="245">
        <v>45307</v>
      </c>
      <c r="J36" s="246">
        <v>45365</v>
      </c>
      <c r="K36" s="247" t="s">
        <v>58</v>
      </c>
      <c r="L36" s="248"/>
      <c r="M36" s="248">
        <f>IF(Tableau3453[[#This Row],[Date 
du paiement]]="",$D$4-Tableau3453[[#This Row],[Date
de la facture]],Tableau3453[[#This Row],[Date 
du paiement]]-Tableau3453[[#This Row],[Date
de la facture]])</f>
        <v>58</v>
      </c>
      <c r="N36" s="241" t="str">
        <f>IF(Tableau3453[[#This Row],[Date 
du paiement]]="",IF(Tableau3453[[#This Row],[Jours]]&lt;30,Tableau3453[[#This Row],[Montant
de la facture
CHF]],""),"")</f>
        <v/>
      </c>
      <c r="O36" s="241" t="str">
        <f>IF(Tableau3453[[#This Row],[Date 
du paiement]]="",IF(Tableau3453[[#This Row],[Jours]]&gt;30,IF(Tableau3453[[#This Row],[Jours]]&lt;60,Tableau3453[[#This Row],[Montant
de la facture
CHF]],""),""),"")</f>
        <v/>
      </c>
      <c r="P36" s="241" t="str">
        <f>IF(Tableau3453[[#This Row],[Date 
du paiement]]="",IF(Tableau3453[[#This Row],[Jours]]&gt;60,Tableau3453[[#This Row],[Montant
de la facture
CHF]],""),"")</f>
        <v/>
      </c>
      <c r="Q36" s="249"/>
      <c r="R36" s="250" t="str">
        <f>Tableau3453[[#This Row],[Solde 
ouverte
fm]]</f>
        <v/>
      </c>
      <c r="S3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" spans="1:19" hidden="1" outlineLevel="1" x14ac:dyDescent="0.25">
      <c r="A37" s="238">
        <v>240011</v>
      </c>
      <c r="B37" s="239" t="s">
        <v>860</v>
      </c>
      <c r="C37" s="352" t="str">
        <f>IF(Tableau3453[[#This Row],[Date 
du paiement]]="",IF(Tableau3453[[#This Row],[Jours]]&gt;Tableau3453[[#This Row],[Conditions
pmt+]]+5,"oui",""),"")</f>
        <v/>
      </c>
      <c r="D37" s="238" t="s">
        <v>879</v>
      </c>
      <c r="E37" s="240">
        <v>45307</v>
      </c>
      <c r="F37" s="241">
        <v>1998.7</v>
      </c>
      <c r="G37" s="242" t="str">
        <f>IF(Tableau3453[[#This Row],[Date 
du paiement]]="",Tableau3453[[#This Row],[Montant
de la facture
CHF]],"")</f>
        <v/>
      </c>
      <c r="H37" s="243" t="s">
        <v>886</v>
      </c>
      <c r="I37" s="245">
        <v>45307</v>
      </c>
      <c r="J37" s="246">
        <v>45356</v>
      </c>
      <c r="K37" s="247" t="s">
        <v>58</v>
      </c>
      <c r="L37" s="248"/>
      <c r="M37" s="248">
        <f>IF(Tableau3453[[#This Row],[Date 
du paiement]]="",$D$4-Tableau3453[[#This Row],[Date
de la facture]],Tableau3453[[#This Row],[Date 
du paiement]]-Tableau3453[[#This Row],[Date
de la facture]])</f>
        <v>49</v>
      </c>
      <c r="N37" s="241" t="str">
        <f>IF(Tableau3453[[#This Row],[Date 
du paiement]]="",IF(Tableau3453[[#This Row],[Jours]]&lt;30,Tableau3453[[#This Row],[Montant
de la facture
CHF]],""),"")</f>
        <v/>
      </c>
      <c r="O37" s="241" t="str">
        <f>IF(Tableau3453[[#This Row],[Date 
du paiement]]="",IF(Tableau3453[[#This Row],[Jours]]&gt;30,IF(Tableau3453[[#This Row],[Jours]]&lt;60,Tableau3453[[#This Row],[Montant
de la facture
CHF]],""),""),"")</f>
        <v/>
      </c>
      <c r="P37" s="241" t="str">
        <f>IF(Tableau3453[[#This Row],[Date 
du paiement]]="",IF(Tableau3453[[#This Row],[Jours]]&gt;60,Tableau3453[[#This Row],[Montant
de la facture
CHF]],""),"")</f>
        <v/>
      </c>
      <c r="Q37" s="249"/>
      <c r="R37" s="250" t="str">
        <f>Tableau3453[[#This Row],[Solde 
ouverte
fm]]</f>
        <v/>
      </c>
      <c r="S3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" spans="1:19" hidden="1" outlineLevel="1" x14ac:dyDescent="0.25">
      <c r="A38" s="238">
        <v>240016</v>
      </c>
      <c r="B38" s="239" t="s">
        <v>857</v>
      </c>
      <c r="C38" s="352" t="str">
        <f>IF(Tableau3453[[#This Row],[Date 
du paiement]]="",IF(Tableau3453[[#This Row],[Jours]]&gt;Tableau3453[[#This Row],[Conditions
pmt+]]+5,"oui",""),"")</f>
        <v/>
      </c>
      <c r="D38" s="251" t="s">
        <v>865</v>
      </c>
      <c r="E38" s="240">
        <v>45308</v>
      </c>
      <c r="F38" s="241">
        <v>5116.6499999999996</v>
      </c>
      <c r="G38" s="242" t="str">
        <f>IF(Tableau3453[[#This Row],[Date 
du paiement]]="",Tableau3453[[#This Row],[Montant
de la facture
CHF]],"")</f>
        <v/>
      </c>
      <c r="H38" s="243"/>
      <c r="I38" s="245">
        <v>45309</v>
      </c>
      <c r="J38" s="246">
        <v>45365</v>
      </c>
      <c r="K38" s="247" t="s">
        <v>58</v>
      </c>
      <c r="L38" s="248"/>
      <c r="M38" s="248">
        <f>IF(Tableau3453[[#This Row],[Date 
du paiement]]="",$D$4-Tableau3453[[#This Row],[Date
de la facture]],Tableau3453[[#This Row],[Date 
du paiement]]-Tableau3453[[#This Row],[Date
de la facture]])</f>
        <v>57</v>
      </c>
      <c r="N38" s="241" t="str">
        <f>IF(Tableau3453[[#This Row],[Date 
du paiement]]="",IF(Tableau3453[[#This Row],[Jours]]&lt;30,Tableau3453[[#This Row],[Montant
de la facture
CHF]],""),"")</f>
        <v/>
      </c>
      <c r="O38" s="241" t="str">
        <f>IF(Tableau3453[[#This Row],[Date 
du paiement]]="",IF(Tableau3453[[#This Row],[Jours]]&gt;30,IF(Tableau3453[[#This Row],[Jours]]&lt;60,Tableau3453[[#This Row],[Montant
de la facture
CHF]],""),""),"")</f>
        <v/>
      </c>
      <c r="P38" s="241" t="str">
        <f>IF(Tableau3453[[#This Row],[Date 
du paiement]]="",IF(Tableau3453[[#This Row],[Jours]]&gt;60,Tableau3453[[#This Row],[Montant
de la facture
CHF]],""),"")</f>
        <v/>
      </c>
      <c r="Q38" s="249"/>
      <c r="R38" s="250" t="str">
        <f>Tableau3453[[#This Row],[Solde 
ouverte
fm]]</f>
        <v/>
      </c>
      <c r="S3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" spans="1:19" hidden="1" outlineLevel="1" x14ac:dyDescent="0.25">
      <c r="A39" s="238">
        <v>230821</v>
      </c>
      <c r="B39" s="239" t="s">
        <v>860</v>
      </c>
      <c r="C39" s="352" t="str">
        <f>IF(Tableau3453[[#This Row],[Date 
du paiement]]="",IF(Tableau3453[[#This Row],[Jours]]&gt;Tableau3453[[#This Row],[Conditions
pmt+]]+5,"oui",""),"")</f>
        <v/>
      </c>
      <c r="D39" s="238" t="s">
        <v>887</v>
      </c>
      <c r="E39" s="240">
        <v>45308</v>
      </c>
      <c r="F39" s="241">
        <v>1547.05</v>
      </c>
      <c r="G39" s="242" t="str">
        <f>IF(Tableau3453[[#This Row],[Date 
du paiement]]="",Tableau3453[[#This Row],[Montant
de la facture
CHF]],"")</f>
        <v/>
      </c>
      <c r="H39" s="243"/>
      <c r="I39" s="245">
        <v>45309</v>
      </c>
      <c r="J39" s="246">
        <v>45359</v>
      </c>
      <c r="K39" s="247" t="s">
        <v>58</v>
      </c>
      <c r="L39" s="248"/>
      <c r="M39" s="248">
        <f>IF(Tableau3453[[#This Row],[Date 
du paiement]]="",$D$4-Tableau3453[[#This Row],[Date
de la facture]],Tableau3453[[#This Row],[Date 
du paiement]]-Tableau3453[[#This Row],[Date
de la facture]])</f>
        <v>51</v>
      </c>
      <c r="N39" s="241" t="str">
        <f>IF(Tableau3453[[#This Row],[Date 
du paiement]]="",IF(Tableau3453[[#This Row],[Jours]]&lt;30,Tableau3453[[#This Row],[Montant
de la facture
CHF]],""),"")</f>
        <v/>
      </c>
      <c r="O39" s="241" t="str">
        <f>IF(Tableau3453[[#This Row],[Date 
du paiement]]="",IF(Tableau3453[[#This Row],[Jours]]&gt;30,IF(Tableau3453[[#This Row],[Jours]]&lt;60,Tableau3453[[#This Row],[Montant
de la facture
CHF]],""),""),"")</f>
        <v/>
      </c>
      <c r="P39" s="241" t="str">
        <f>IF(Tableau3453[[#This Row],[Date 
du paiement]]="",IF(Tableau3453[[#This Row],[Jours]]&gt;60,Tableau3453[[#This Row],[Montant
de la facture
CHF]],""),"")</f>
        <v/>
      </c>
      <c r="Q39" s="249"/>
      <c r="R39" s="250" t="str">
        <f>Tableau3453[[#This Row],[Solde 
ouverte
fm]]</f>
        <v/>
      </c>
      <c r="S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" spans="1:19" hidden="1" outlineLevel="1" x14ac:dyDescent="0.25">
      <c r="A40" s="238">
        <v>240033</v>
      </c>
      <c r="B40" s="239" t="s">
        <v>860</v>
      </c>
      <c r="C40" s="352" t="str">
        <f>IF(Tableau3453[[#This Row],[Date 
du paiement]]="",IF(Tableau3453[[#This Row],[Jours]]&gt;Tableau3453[[#This Row],[Conditions
pmt+]]+5,"oui",""),"")</f>
        <v/>
      </c>
      <c r="D40" s="238" t="s">
        <v>880</v>
      </c>
      <c r="E40" s="240">
        <v>45308</v>
      </c>
      <c r="F40" s="241">
        <v>3789.8</v>
      </c>
      <c r="G40" s="242" t="str">
        <f>IF(Tableau3453[[#This Row],[Date 
du paiement]]="",Tableau3453[[#This Row],[Montant
de la facture
CHF]],"")</f>
        <v/>
      </c>
      <c r="H40" s="243"/>
      <c r="I40" s="245">
        <v>45309</v>
      </c>
      <c r="J40" s="246">
        <v>45335</v>
      </c>
      <c r="K40" s="247" t="s">
        <v>58</v>
      </c>
      <c r="L40" s="248"/>
      <c r="M40" s="248">
        <f>IF(Tableau3453[[#This Row],[Date 
du paiement]]="",$D$4-Tableau3453[[#This Row],[Date
de la facture]],Tableau3453[[#This Row],[Date 
du paiement]]-Tableau3453[[#This Row],[Date
de la facture]])</f>
        <v>27</v>
      </c>
      <c r="N40" s="241" t="str">
        <f>IF(Tableau3453[[#This Row],[Date 
du paiement]]="",IF(Tableau3453[[#This Row],[Jours]]&lt;30,Tableau3453[[#This Row],[Montant
de la facture
CHF]],""),"")</f>
        <v/>
      </c>
      <c r="O40" s="241" t="str">
        <f>IF(Tableau3453[[#This Row],[Date 
du paiement]]="",IF(Tableau3453[[#This Row],[Jours]]&gt;30,IF(Tableau3453[[#This Row],[Jours]]&lt;60,Tableau3453[[#This Row],[Montant
de la facture
CHF]],""),""),"")</f>
        <v/>
      </c>
      <c r="P40" s="241" t="str">
        <f>IF(Tableau3453[[#This Row],[Date 
du paiement]]="",IF(Tableau3453[[#This Row],[Jours]]&gt;60,Tableau3453[[#This Row],[Montant
de la facture
CHF]],""),"")</f>
        <v/>
      </c>
      <c r="Q40" s="249"/>
      <c r="R40" s="250" t="str">
        <f>Tableau3453[[#This Row],[Solde 
ouverte
fm]]</f>
        <v/>
      </c>
      <c r="S4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" spans="1:19" hidden="1" outlineLevel="1" x14ac:dyDescent="0.25">
      <c r="A41" s="238">
        <v>240028</v>
      </c>
      <c r="B41" s="239" t="s">
        <v>860</v>
      </c>
      <c r="C41" s="352" t="str">
        <f>IF(Tableau3453[[#This Row],[Date 
du paiement]]="",IF(Tableau3453[[#This Row],[Jours]]&gt;Tableau3453[[#This Row],[Conditions
pmt+]]+5,"oui",""),"")</f>
        <v/>
      </c>
      <c r="D41" s="238" t="s">
        <v>880</v>
      </c>
      <c r="E41" s="240">
        <v>45308</v>
      </c>
      <c r="F41" s="241">
        <v>1784.2</v>
      </c>
      <c r="G41" s="242" t="str">
        <f>IF(Tableau3453[[#This Row],[Date 
du paiement]]="",Tableau3453[[#This Row],[Montant
de la facture
CHF]],"")</f>
        <v/>
      </c>
      <c r="H41" s="243"/>
      <c r="I41" s="245">
        <v>45309</v>
      </c>
      <c r="J41" s="246">
        <v>45335</v>
      </c>
      <c r="K41" s="247" t="s">
        <v>58</v>
      </c>
      <c r="L41" s="248"/>
      <c r="M41" s="248">
        <f>IF(Tableau3453[[#This Row],[Date 
du paiement]]="",$D$4-Tableau3453[[#This Row],[Date
de la facture]],Tableau3453[[#This Row],[Date 
du paiement]]-Tableau3453[[#This Row],[Date
de la facture]])</f>
        <v>27</v>
      </c>
      <c r="N41" s="241" t="str">
        <f>IF(Tableau3453[[#This Row],[Date 
du paiement]]="",IF(Tableau3453[[#This Row],[Jours]]&lt;30,Tableau3453[[#This Row],[Montant
de la facture
CHF]],""),"")</f>
        <v/>
      </c>
      <c r="O41" s="241" t="str">
        <f>IF(Tableau3453[[#This Row],[Date 
du paiement]]="",IF(Tableau3453[[#This Row],[Jours]]&gt;30,IF(Tableau3453[[#This Row],[Jours]]&lt;60,Tableau3453[[#This Row],[Montant
de la facture
CHF]],""),""),"")</f>
        <v/>
      </c>
      <c r="P41" s="241" t="str">
        <f>IF(Tableau3453[[#This Row],[Date 
du paiement]]="",IF(Tableau3453[[#This Row],[Jours]]&gt;60,Tableau3453[[#This Row],[Montant
de la facture
CHF]],""),"")</f>
        <v/>
      </c>
      <c r="Q41" s="249"/>
      <c r="R41" s="250" t="str">
        <f>Tableau3453[[#This Row],[Solde 
ouverte
fm]]</f>
        <v/>
      </c>
      <c r="S4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" spans="1:19" hidden="1" outlineLevel="1" x14ac:dyDescent="0.25">
      <c r="A42" s="238">
        <v>240008</v>
      </c>
      <c r="B42" s="239" t="s">
        <v>860</v>
      </c>
      <c r="C42" s="352" t="str">
        <f>IF(Tableau3453[[#This Row],[Date 
du paiement]]="",IF(Tableau3453[[#This Row],[Jours]]&gt;Tableau3453[[#This Row],[Conditions
pmt+]]+5,"oui",""),"")</f>
        <v/>
      </c>
      <c r="D42" s="253" t="s">
        <v>863</v>
      </c>
      <c r="E42" s="240">
        <v>45310</v>
      </c>
      <c r="F42" s="241">
        <v>5451.05</v>
      </c>
      <c r="G42" s="242" t="str">
        <f>IF(Tableau3453[[#This Row],[Date 
du paiement]]="",Tableau3453[[#This Row],[Montant
de la facture
CHF]],"")</f>
        <v/>
      </c>
      <c r="H42" s="243"/>
      <c r="I42" s="245">
        <v>45310</v>
      </c>
      <c r="J42" s="246">
        <v>45359</v>
      </c>
      <c r="K42" s="247" t="s">
        <v>58</v>
      </c>
      <c r="L42" s="248"/>
      <c r="M42" s="248">
        <f>IF(Tableau3453[[#This Row],[Date 
du paiement]]="",$D$4-Tableau3453[[#This Row],[Date
de la facture]],Tableau3453[[#This Row],[Date 
du paiement]]-Tableau3453[[#This Row],[Date
de la facture]])</f>
        <v>49</v>
      </c>
      <c r="N42" s="241" t="str">
        <f>IF(Tableau3453[[#This Row],[Date 
du paiement]]="",IF(Tableau3453[[#This Row],[Jours]]&lt;30,Tableau3453[[#This Row],[Montant
de la facture
CHF]],""),"")</f>
        <v/>
      </c>
      <c r="O42" s="241" t="str">
        <f>IF(Tableau3453[[#This Row],[Date 
du paiement]]="",IF(Tableau3453[[#This Row],[Jours]]&gt;30,IF(Tableau3453[[#This Row],[Jours]]&lt;60,Tableau3453[[#This Row],[Montant
de la facture
CHF]],""),""),"")</f>
        <v/>
      </c>
      <c r="P42" s="241" t="str">
        <f>IF(Tableau3453[[#This Row],[Date 
du paiement]]="",IF(Tableau3453[[#This Row],[Jours]]&gt;60,Tableau3453[[#This Row],[Montant
de la facture
CHF]],""),"")</f>
        <v/>
      </c>
      <c r="Q42" s="249"/>
      <c r="R42" s="250" t="str">
        <f>Tableau3453[[#This Row],[Solde 
ouverte
fm]]</f>
        <v/>
      </c>
      <c r="S4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" spans="1:19" hidden="1" outlineLevel="1" x14ac:dyDescent="0.25">
      <c r="A43" s="238">
        <v>240041</v>
      </c>
      <c r="B43" s="239" t="s">
        <v>857</v>
      </c>
      <c r="C43" s="352" t="str">
        <f>IF(Tableau3453[[#This Row],[Date 
du paiement]]="",IF(Tableau3453[[#This Row],[Jours]]&gt;Tableau3453[[#This Row],[Conditions
pmt+]]+5,"oui",""),"")</f>
        <v/>
      </c>
      <c r="D43" s="251" t="s">
        <v>865</v>
      </c>
      <c r="E43" s="240">
        <v>45313</v>
      </c>
      <c r="F43" s="241">
        <v>757.1</v>
      </c>
      <c r="G43" s="242" t="str">
        <f>IF(Tableau3453[[#This Row],[Date 
du paiement]]="",Tableau3453[[#This Row],[Montant
de la facture
CHF]],"")</f>
        <v/>
      </c>
      <c r="H43" s="243"/>
      <c r="I43" s="245">
        <v>45313</v>
      </c>
      <c r="J43" s="246">
        <v>45376</v>
      </c>
      <c r="K43" s="247" t="s">
        <v>58</v>
      </c>
      <c r="L43" s="248"/>
      <c r="M43" s="248">
        <f>IF(Tableau3453[[#This Row],[Date 
du paiement]]="",$D$4-Tableau3453[[#This Row],[Date
de la facture]],Tableau3453[[#This Row],[Date 
du paiement]]-Tableau3453[[#This Row],[Date
de la facture]])</f>
        <v>63</v>
      </c>
      <c r="N43" s="241" t="str">
        <f>IF(Tableau3453[[#This Row],[Date 
du paiement]]="",IF(Tableau3453[[#This Row],[Jours]]&lt;30,Tableau3453[[#This Row],[Montant
de la facture
CHF]],""),"")</f>
        <v/>
      </c>
      <c r="O43" s="241" t="str">
        <f>IF(Tableau3453[[#This Row],[Date 
du paiement]]="",IF(Tableau3453[[#This Row],[Jours]]&gt;30,IF(Tableau3453[[#This Row],[Jours]]&lt;60,Tableau3453[[#This Row],[Montant
de la facture
CHF]],""),""),"")</f>
        <v/>
      </c>
      <c r="P43" s="241" t="str">
        <f>IF(Tableau3453[[#This Row],[Date 
du paiement]]="",IF(Tableau3453[[#This Row],[Jours]]&gt;60,Tableau3453[[#This Row],[Montant
de la facture
CHF]],""),"")</f>
        <v/>
      </c>
      <c r="Q43" s="249"/>
      <c r="R43" s="250" t="str">
        <f>Tableau3453[[#This Row],[Solde 
ouverte
fm]]</f>
        <v/>
      </c>
      <c r="S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" spans="1:19" hidden="1" outlineLevel="1" x14ac:dyDescent="0.25">
      <c r="A44" s="238">
        <v>240042</v>
      </c>
      <c r="B44" s="239" t="s">
        <v>857</v>
      </c>
      <c r="C44" s="352" t="str">
        <f>IF(Tableau3453[[#This Row],[Date 
du paiement]]="",IF(Tableau3453[[#This Row],[Jours]]&gt;Tableau3453[[#This Row],[Conditions
pmt+]]+5,"oui",""),"")</f>
        <v/>
      </c>
      <c r="D44" s="251" t="s">
        <v>865</v>
      </c>
      <c r="E44" s="240">
        <v>45313</v>
      </c>
      <c r="F44" s="241">
        <v>3506.7</v>
      </c>
      <c r="G44" s="242" t="str">
        <f>IF(Tableau3453[[#This Row],[Date 
du paiement]]="",Tableau3453[[#This Row],[Montant
de la facture
CHF]],"")</f>
        <v/>
      </c>
      <c r="H44" s="243"/>
      <c r="I44" s="245">
        <v>45313</v>
      </c>
      <c r="J44" s="246">
        <v>45376</v>
      </c>
      <c r="K44" s="247" t="s">
        <v>58</v>
      </c>
      <c r="L44" s="248"/>
      <c r="M44" s="248">
        <f>IF(Tableau3453[[#This Row],[Date 
du paiement]]="",$D$4-Tableau3453[[#This Row],[Date
de la facture]],Tableau3453[[#This Row],[Date 
du paiement]]-Tableau3453[[#This Row],[Date
de la facture]])</f>
        <v>63</v>
      </c>
      <c r="N44" s="241" t="str">
        <f>IF(Tableau3453[[#This Row],[Date 
du paiement]]="",IF(Tableau3453[[#This Row],[Jours]]&lt;30,Tableau3453[[#This Row],[Montant
de la facture
CHF]],""),"")</f>
        <v/>
      </c>
      <c r="O44" s="241" t="str">
        <f>IF(Tableau3453[[#This Row],[Date 
du paiement]]="",IF(Tableau3453[[#This Row],[Jours]]&gt;30,IF(Tableau3453[[#This Row],[Jours]]&lt;60,Tableau3453[[#This Row],[Montant
de la facture
CHF]],""),""),"")</f>
        <v/>
      </c>
      <c r="P44" s="241" t="str">
        <f>IF(Tableau3453[[#This Row],[Date 
du paiement]]="",IF(Tableau3453[[#This Row],[Jours]]&gt;60,Tableau3453[[#This Row],[Montant
de la facture
CHF]],""),"")</f>
        <v/>
      </c>
      <c r="Q44" s="249"/>
      <c r="R44" s="250" t="str">
        <f>Tableau3453[[#This Row],[Solde 
ouverte
fm]]</f>
        <v/>
      </c>
      <c r="S4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" spans="1:19" hidden="1" outlineLevel="1" x14ac:dyDescent="0.25">
      <c r="A45" s="238">
        <v>240029</v>
      </c>
      <c r="B45" s="239" t="s">
        <v>857</v>
      </c>
      <c r="C45" s="352" t="str">
        <f>IF(Tableau3453[[#This Row],[Date 
du paiement]]="",IF(Tableau3453[[#This Row],[Jours]]&gt;Tableau3453[[#This Row],[Conditions
pmt+]]+5,"oui",""),"")</f>
        <v/>
      </c>
      <c r="D45" s="251" t="s">
        <v>865</v>
      </c>
      <c r="E45" s="240">
        <v>45313</v>
      </c>
      <c r="F45" s="241">
        <v>1109.05</v>
      </c>
      <c r="G45" s="242" t="str">
        <f>IF(Tableau3453[[#This Row],[Date 
du paiement]]="",Tableau3453[[#This Row],[Montant
de la facture
CHF]],"")</f>
        <v/>
      </c>
      <c r="H45" s="243"/>
      <c r="I45" s="245">
        <v>45328</v>
      </c>
      <c r="J45" s="246">
        <v>45376</v>
      </c>
      <c r="K45" s="247" t="s">
        <v>58</v>
      </c>
      <c r="L45" s="248"/>
      <c r="M45" s="248">
        <f>IF(Tableau3453[[#This Row],[Date 
du paiement]]="",$D$4-Tableau3453[[#This Row],[Date
de la facture]],Tableau3453[[#This Row],[Date 
du paiement]]-Tableau3453[[#This Row],[Date
de la facture]])</f>
        <v>63</v>
      </c>
      <c r="N45" s="241" t="str">
        <f>IF(Tableau3453[[#This Row],[Date 
du paiement]]="",IF(Tableau3453[[#This Row],[Jours]]&lt;30,Tableau3453[[#This Row],[Montant
de la facture
CHF]],""),"")</f>
        <v/>
      </c>
      <c r="O45" s="241" t="str">
        <f>IF(Tableau3453[[#This Row],[Date 
du paiement]]="",IF(Tableau3453[[#This Row],[Jours]]&gt;30,IF(Tableau3453[[#This Row],[Jours]]&lt;60,Tableau3453[[#This Row],[Montant
de la facture
CHF]],""),""),"")</f>
        <v/>
      </c>
      <c r="P45" s="241" t="str">
        <f>IF(Tableau3453[[#This Row],[Date 
du paiement]]="",IF(Tableau3453[[#This Row],[Jours]]&gt;60,Tableau3453[[#This Row],[Montant
de la facture
CHF]],""),"")</f>
        <v/>
      </c>
      <c r="Q45" s="249"/>
      <c r="R45" s="250" t="str">
        <f>Tableau3453[[#This Row],[Solde 
ouverte
fm]]</f>
        <v/>
      </c>
      <c r="S4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" spans="1:19" hidden="1" outlineLevel="1" x14ac:dyDescent="0.25">
      <c r="A46" s="238">
        <v>240040</v>
      </c>
      <c r="B46" s="239" t="s">
        <v>860</v>
      </c>
      <c r="C46" s="352" t="str">
        <f>IF(Tableau3453[[#This Row],[Date 
du paiement]]="",IF(Tableau3453[[#This Row],[Jours]]&gt;Tableau3453[[#This Row],[Conditions
pmt+]]+5,"oui",""),"")</f>
        <v/>
      </c>
      <c r="D46" s="238" t="s">
        <v>888</v>
      </c>
      <c r="E46" s="240">
        <v>45313</v>
      </c>
      <c r="F46" s="241">
        <v>1286.7</v>
      </c>
      <c r="G46" s="242" t="str">
        <f>IF(Tableau3453[[#This Row],[Date 
du paiement]]="",Tableau3453[[#This Row],[Montant
de la facture
CHF]],"")</f>
        <v/>
      </c>
      <c r="H46" s="243"/>
      <c r="I46" s="245">
        <v>45313</v>
      </c>
      <c r="J46" s="246">
        <v>45362</v>
      </c>
      <c r="K46" s="247" t="s">
        <v>58</v>
      </c>
      <c r="L46" s="248"/>
      <c r="M46" s="248">
        <f>IF(Tableau3453[[#This Row],[Date 
du paiement]]="",$D$4-Tableau3453[[#This Row],[Date
de la facture]],Tableau3453[[#This Row],[Date 
du paiement]]-Tableau3453[[#This Row],[Date
de la facture]])</f>
        <v>49</v>
      </c>
      <c r="N46" s="241" t="str">
        <f>IF(Tableau3453[[#This Row],[Date 
du paiement]]="",IF(Tableau3453[[#This Row],[Jours]]&lt;30,Tableau3453[[#This Row],[Montant
de la facture
CHF]],""),"")</f>
        <v/>
      </c>
      <c r="O46" s="241" t="str">
        <f>IF(Tableau3453[[#This Row],[Date 
du paiement]]="",IF(Tableau3453[[#This Row],[Jours]]&gt;30,IF(Tableau3453[[#This Row],[Jours]]&lt;60,Tableau3453[[#This Row],[Montant
de la facture
CHF]],""),""),"")</f>
        <v/>
      </c>
      <c r="P46" s="241" t="str">
        <f>IF(Tableau3453[[#This Row],[Date 
du paiement]]="",IF(Tableau3453[[#This Row],[Jours]]&gt;60,Tableau3453[[#This Row],[Montant
de la facture
CHF]],""),"")</f>
        <v/>
      </c>
      <c r="Q46" s="249"/>
      <c r="R46" s="250" t="str">
        <f>Tableau3453[[#This Row],[Solde 
ouverte
fm]]</f>
        <v/>
      </c>
      <c r="S4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" spans="1:19" hidden="1" outlineLevel="1" x14ac:dyDescent="0.25">
      <c r="A47" s="238">
        <v>240043</v>
      </c>
      <c r="B47" s="239" t="s">
        <v>860</v>
      </c>
      <c r="C47" s="352" t="str">
        <f>IF(Tableau3453[[#This Row],[Date 
du paiement]]="",IF(Tableau3453[[#This Row],[Jours]]&gt;Tableau3453[[#This Row],[Conditions
pmt+]]+5,"oui",""),"")</f>
        <v/>
      </c>
      <c r="D47" s="253" t="s">
        <v>863</v>
      </c>
      <c r="E47" s="240">
        <v>45314</v>
      </c>
      <c r="F47" s="241">
        <v>963.15</v>
      </c>
      <c r="G47" s="242" t="str">
        <f>IF(Tableau3453[[#This Row],[Date 
du paiement]]="",Tableau3453[[#This Row],[Montant
de la facture
CHF]],"")</f>
        <v/>
      </c>
      <c r="H47" s="243" t="s">
        <v>889</v>
      </c>
      <c r="I47" s="245">
        <v>45316</v>
      </c>
      <c r="J47" s="246">
        <v>45414</v>
      </c>
      <c r="K47" s="247" t="s">
        <v>58</v>
      </c>
      <c r="L47" s="255">
        <v>3</v>
      </c>
      <c r="M47" s="248">
        <f>IF(Tableau3453[[#This Row],[Date 
du paiement]]="",$D$4-Tableau3453[[#This Row],[Date
de la facture]],Tableau3453[[#This Row],[Date 
du paiement]]-Tableau3453[[#This Row],[Date
de la facture]])</f>
        <v>100</v>
      </c>
      <c r="N47" s="241" t="str">
        <f>IF(Tableau3453[[#This Row],[Date 
du paiement]]="",IF(Tableau3453[[#This Row],[Jours]]&lt;30,Tableau3453[[#This Row],[Montant
de la facture
CHF]],""),"")</f>
        <v/>
      </c>
      <c r="O47" s="241" t="str">
        <f>IF(Tableau3453[[#This Row],[Date 
du paiement]]="",IF(Tableau3453[[#This Row],[Jours]]&gt;30,IF(Tableau3453[[#This Row],[Jours]]&lt;60,Tableau3453[[#This Row],[Montant
de la facture
CHF]],""),""),"")</f>
        <v/>
      </c>
      <c r="P47" s="241" t="str">
        <f>IF(Tableau3453[[#This Row],[Date 
du paiement]]="",IF(Tableau3453[[#This Row],[Jours]]&gt;60,Tableau3453[[#This Row],[Montant
de la facture
CHF]],""),"")</f>
        <v/>
      </c>
      <c r="Q47" s="249"/>
      <c r="R47" s="250" t="str">
        <f>Tableau3453[[#This Row],[Solde 
ouverte
fm]]</f>
        <v/>
      </c>
      <c r="S4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" spans="1:19" hidden="1" outlineLevel="1" x14ac:dyDescent="0.25">
      <c r="A48" s="238">
        <v>240019</v>
      </c>
      <c r="B48" s="239" t="s">
        <v>857</v>
      </c>
      <c r="C48" s="352" t="str">
        <f>IF(Tableau3453[[#This Row],[Date 
du paiement]]="",IF(Tableau3453[[#This Row],[Jours]]&gt;Tableau3453[[#This Row],[Conditions
pmt+]]+5,"oui",""),"")</f>
        <v/>
      </c>
      <c r="D48" s="251" t="s">
        <v>865</v>
      </c>
      <c r="E48" s="240">
        <v>45314</v>
      </c>
      <c r="F48" s="241">
        <v>27477.95</v>
      </c>
      <c r="G48" s="242" t="str">
        <f>IF(Tableau3453[[#This Row],[Date 
du paiement]]="",Tableau3453[[#This Row],[Montant
de la facture
CHF]],"")</f>
        <v/>
      </c>
      <c r="H48" s="243"/>
      <c r="I48" s="245">
        <v>45316</v>
      </c>
      <c r="J48" s="246">
        <v>45376</v>
      </c>
      <c r="K48" s="247" t="s">
        <v>58</v>
      </c>
      <c r="L48" s="248"/>
      <c r="M48" s="248">
        <f>IF(Tableau3453[[#This Row],[Date 
du paiement]]="",$D$4-Tableau3453[[#This Row],[Date
de la facture]],Tableau3453[[#This Row],[Date 
du paiement]]-Tableau3453[[#This Row],[Date
de la facture]])</f>
        <v>62</v>
      </c>
      <c r="N48" s="241" t="str">
        <f>IF(Tableau3453[[#This Row],[Date 
du paiement]]="",IF(Tableau3453[[#This Row],[Jours]]&lt;30,Tableau3453[[#This Row],[Montant
de la facture
CHF]],""),"")</f>
        <v/>
      </c>
      <c r="O48" s="241" t="str">
        <f>IF(Tableau3453[[#This Row],[Date 
du paiement]]="",IF(Tableau3453[[#This Row],[Jours]]&gt;30,IF(Tableau3453[[#This Row],[Jours]]&lt;60,Tableau3453[[#This Row],[Montant
de la facture
CHF]],""),""),"")</f>
        <v/>
      </c>
      <c r="P48" s="241" t="str">
        <f>IF(Tableau3453[[#This Row],[Date 
du paiement]]="",IF(Tableau3453[[#This Row],[Jours]]&gt;60,Tableau3453[[#This Row],[Montant
de la facture
CHF]],""),"")</f>
        <v/>
      </c>
      <c r="Q48" s="249"/>
      <c r="R48" s="250" t="str">
        <f>Tableau3453[[#This Row],[Solde 
ouverte
fm]]</f>
        <v/>
      </c>
      <c r="S4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" spans="1:19" hidden="1" outlineLevel="1" x14ac:dyDescent="0.25">
      <c r="A49" s="238">
        <v>240037</v>
      </c>
      <c r="B49" s="239" t="s">
        <v>857</v>
      </c>
      <c r="C49" s="352" t="str">
        <f>IF(Tableau3453[[#This Row],[Date 
du paiement]]="",IF(Tableau3453[[#This Row],[Jours]]&gt;Tableau3453[[#This Row],[Conditions
pmt+]]+5,"oui",""),"")</f>
        <v/>
      </c>
      <c r="D49" s="251" t="s">
        <v>865</v>
      </c>
      <c r="E49" s="240">
        <v>45314</v>
      </c>
      <c r="F49" s="241">
        <v>3119.1</v>
      </c>
      <c r="G49" s="242" t="str">
        <f>IF(Tableau3453[[#This Row],[Date 
du paiement]]="",Tableau3453[[#This Row],[Montant
de la facture
CHF]],"")</f>
        <v/>
      </c>
      <c r="H49" s="243"/>
      <c r="I49" s="245">
        <v>45316</v>
      </c>
      <c r="J49" s="246">
        <v>45376</v>
      </c>
      <c r="K49" s="247" t="s">
        <v>58</v>
      </c>
      <c r="L49" s="248"/>
      <c r="M49" s="248">
        <f>IF(Tableau3453[[#This Row],[Date 
du paiement]]="",$D$4-Tableau3453[[#This Row],[Date
de la facture]],Tableau3453[[#This Row],[Date 
du paiement]]-Tableau3453[[#This Row],[Date
de la facture]])</f>
        <v>62</v>
      </c>
      <c r="N49" s="241" t="str">
        <f>IF(Tableau3453[[#This Row],[Date 
du paiement]]="",IF(Tableau3453[[#This Row],[Jours]]&lt;30,Tableau3453[[#This Row],[Montant
de la facture
CHF]],""),"")</f>
        <v/>
      </c>
      <c r="O49" s="241" t="str">
        <f>IF(Tableau3453[[#This Row],[Date 
du paiement]]="",IF(Tableau3453[[#This Row],[Jours]]&gt;30,IF(Tableau3453[[#This Row],[Jours]]&lt;60,Tableau3453[[#This Row],[Montant
de la facture
CHF]],""),""),"")</f>
        <v/>
      </c>
      <c r="P49" s="241" t="str">
        <f>IF(Tableau3453[[#This Row],[Date 
du paiement]]="",IF(Tableau3453[[#This Row],[Jours]]&gt;60,Tableau3453[[#This Row],[Montant
de la facture
CHF]],""),"")</f>
        <v/>
      </c>
      <c r="Q49" s="249"/>
      <c r="R49" s="250" t="str">
        <f>Tableau3453[[#This Row],[Solde 
ouverte
fm]]</f>
        <v/>
      </c>
      <c r="S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" spans="1:19" hidden="1" outlineLevel="1" x14ac:dyDescent="0.25">
      <c r="A50" s="238">
        <v>240062</v>
      </c>
      <c r="B50" s="239" t="s">
        <v>860</v>
      </c>
      <c r="C50" s="352" t="str">
        <f>IF(Tableau3453[[#This Row],[Date 
du paiement]]="",IF(Tableau3453[[#This Row],[Jours]]&gt;Tableau3453[[#This Row],[Conditions
pmt+]]+5,"oui",""),"")</f>
        <v/>
      </c>
      <c r="D50" s="238" t="s">
        <v>890</v>
      </c>
      <c r="E50" s="240">
        <v>45314</v>
      </c>
      <c r="F50" s="241">
        <v>477.7</v>
      </c>
      <c r="G50" s="242" t="str">
        <f>IF(Tableau3453[[#This Row],[Date 
du paiement]]="",Tableau3453[[#This Row],[Montant
de la facture
CHF]],"")</f>
        <v/>
      </c>
      <c r="H50" s="243"/>
      <c r="I50" s="245">
        <v>45316</v>
      </c>
      <c r="J50" s="246">
        <v>45370</v>
      </c>
      <c r="K50" s="247" t="s">
        <v>58</v>
      </c>
      <c r="L50" s="248">
        <v>1</v>
      </c>
      <c r="M50" s="248">
        <f>IF(Tableau3453[[#This Row],[Date 
du paiement]]="",$D$4-Tableau3453[[#This Row],[Date
de la facture]],Tableau3453[[#This Row],[Date 
du paiement]]-Tableau3453[[#This Row],[Date
de la facture]])</f>
        <v>56</v>
      </c>
      <c r="N50" s="241" t="str">
        <f>IF(Tableau3453[[#This Row],[Date 
du paiement]]="",IF(Tableau3453[[#This Row],[Jours]]&lt;30,Tableau3453[[#This Row],[Montant
de la facture
CHF]],""),"")</f>
        <v/>
      </c>
      <c r="O50" s="241" t="str">
        <f>IF(Tableau3453[[#This Row],[Date 
du paiement]]="",IF(Tableau3453[[#This Row],[Jours]]&gt;30,IF(Tableau3453[[#This Row],[Jours]]&lt;60,Tableau3453[[#This Row],[Montant
de la facture
CHF]],""),""),"")</f>
        <v/>
      </c>
      <c r="P50" s="241" t="str">
        <f>IF(Tableau3453[[#This Row],[Date 
du paiement]]="",IF(Tableau3453[[#This Row],[Jours]]&gt;60,Tableau3453[[#This Row],[Montant
de la facture
CHF]],""),"")</f>
        <v/>
      </c>
      <c r="Q50" s="249"/>
      <c r="R50" s="250" t="str">
        <f>Tableau3453[[#This Row],[Solde 
ouverte
fm]]</f>
        <v/>
      </c>
      <c r="S5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" spans="1:19" hidden="1" outlineLevel="1" x14ac:dyDescent="0.25">
      <c r="A51" s="238">
        <v>240048</v>
      </c>
      <c r="B51" s="239" t="s">
        <v>860</v>
      </c>
      <c r="C51" s="352" t="str">
        <f>IF(Tableau3453[[#This Row],[Date 
du paiement]]="",IF(Tableau3453[[#This Row],[Jours]]&gt;Tableau3453[[#This Row],[Conditions
pmt+]]+5,"oui",""),"")</f>
        <v/>
      </c>
      <c r="D51" s="238" t="s">
        <v>891</v>
      </c>
      <c r="E51" s="240">
        <v>45314</v>
      </c>
      <c r="F51" s="241">
        <v>381.85</v>
      </c>
      <c r="G51" s="242" t="str">
        <f>IF(Tableau3453[[#This Row],[Date 
du paiement]]="",Tableau3453[[#This Row],[Montant
de la facture
CHF]],"")</f>
        <v/>
      </c>
      <c r="H51" s="243"/>
      <c r="I51" s="245">
        <v>45316</v>
      </c>
      <c r="J51" s="246">
        <v>45351</v>
      </c>
      <c r="K51" s="247" t="s">
        <v>58</v>
      </c>
      <c r="L51" s="248"/>
      <c r="M51" s="248">
        <f>IF(Tableau3453[[#This Row],[Date 
du paiement]]="",$D$4-Tableau3453[[#This Row],[Date
de la facture]],Tableau3453[[#This Row],[Date 
du paiement]]-Tableau3453[[#This Row],[Date
de la facture]])</f>
        <v>37</v>
      </c>
      <c r="N51" s="241" t="str">
        <f>IF(Tableau3453[[#This Row],[Date 
du paiement]]="",IF(Tableau3453[[#This Row],[Jours]]&lt;30,Tableau3453[[#This Row],[Montant
de la facture
CHF]],""),"")</f>
        <v/>
      </c>
      <c r="O51" s="241" t="str">
        <f>IF(Tableau3453[[#This Row],[Date 
du paiement]]="",IF(Tableau3453[[#This Row],[Jours]]&gt;30,IF(Tableau3453[[#This Row],[Jours]]&lt;60,Tableau3453[[#This Row],[Montant
de la facture
CHF]],""),""),"")</f>
        <v/>
      </c>
      <c r="P51" s="241" t="str">
        <f>IF(Tableau3453[[#This Row],[Date 
du paiement]]="",IF(Tableau3453[[#This Row],[Jours]]&gt;60,Tableau3453[[#This Row],[Montant
de la facture
CHF]],""),"")</f>
        <v/>
      </c>
      <c r="Q51" s="249"/>
      <c r="R51" s="250" t="str">
        <f>Tableau3453[[#This Row],[Solde 
ouverte
fm]]</f>
        <v/>
      </c>
      <c r="S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" spans="1:19" hidden="1" outlineLevel="1" x14ac:dyDescent="0.25">
      <c r="A52" s="238">
        <v>240050</v>
      </c>
      <c r="B52" s="239" t="s">
        <v>860</v>
      </c>
      <c r="C52" s="352" t="str">
        <f>IF(Tableau3453[[#This Row],[Date 
du paiement]]="",IF(Tableau3453[[#This Row],[Jours]]&gt;Tableau3453[[#This Row],[Conditions
pmt+]]+5,"oui",""),"")</f>
        <v/>
      </c>
      <c r="D52" s="238" t="s">
        <v>892</v>
      </c>
      <c r="E52" s="240">
        <v>45315</v>
      </c>
      <c r="F52" s="241">
        <v>757.6</v>
      </c>
      <c r="G52" s="242" t="str">
        <f>IF(Tableau3453[[#This Row],[Date 
du paiement]]="",Tableau3453[[#This Row],[Montant
de la facture
CHF]],"")</f>
        <v/>
      </c>
      <c r="H52" s="243"/>
      <c r="I52" s="245">
        <v>45316</v>
      </c>
      <c r="J52" s="246">
        <v>45357</v>
      </c>
      <c r="K52" s="247" t="s">
        <v>58</v>
      </c>
      <c r="L52" s="248"/>
      <c r="M52" s="248">
        <f>IF(Tableau3453[[#This Row],[Date 
du paiement]]="",$D$4-Tableau3453[[#This Row],[Date
de la facture]],Tableau3453[[#This Row],[Date 
du paiement]]-Tableau3453[[#This Row],[Date
de la facture]])</f>
        <v>42</v>
      </c>
      <c r="N52" s="241" t="str">
        <f>IF(Tableau3453[[#This Row],[Date 
du paiement]]="",IF(Tableau3453[[#This Row],[Jours]]&lt;30,Tableau3453[[#This Row],[Montant
de la facture
CHF]],""),"")</f>
        <v/>
      </c>
      <c r="O52" s="241" t="str">
        <f>IF(Tableau3453[[#This Row],[Date 
du paiement]]="",IF(Tableau3453[[#This Row],[Jours]]&gt;30,IF(Tableau3453[[#This Row],[Jours]]&lt;60,Tableau3453[[#This Row],[Montant
de la facture
CHF]],""),""),"")</f>
        <v/>
      </c>
      <c r="P52" s="241" t="str">
        <f>IF(Tableau3453[[#This Row],[Date 
du paiement]]="",IF(Tableau3453[[#This Row],[Jours]]&gt;60,Tableau3453[[#This Row],[Montant
de la facture
CHF]],""),"")</f>
        <v/>
      </c>
      <c r="Q52" s="249"/>
      <c r="R52" s="250" t="str">
        <f>Tableau3453[[#This Row],[Solde 
ouverte
fm]]</f>
        <v/>
      </c>
      <c r="S5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" spans="1:19" hidden="1" outlineLevel="1" x14ac:dyDescent="0.25">
      <c r="A53" s="238">
        <v>240049</v>
      </c>
      <c r="B53" s="239" t="s">
        <v>860</v>
      </c>
      <c r="C53" s="352" t="str">
        <f>IF(Tableau3453[[#This Row],[Date 
du paiement]]="",IF(Tableau3453[[#This Row],[Jours]]&gt;Tableau3453[[#This Row],[Conditions
pmt+]]+5,"oui",""),"")</f>
        <v/>
      </c>
      <c r="D53" s="238" t="s">
        <v>893</v>
      </c>
      <c r="E53" s="240">
        <v>45315</v>
      </c>
      <c r="F53" s="241">
        <v>1190.7</v>
      </c>
      <c r="G53" s="242" t="str">
        <f>IF(Tableau3453[[#This Row],[Date 
du paiement]]="",Tableau3453[[#This Row],[Montant
de la facture
CHF]],"")</f>
        <v/>
      </c>
      <c r="H53" s="243"/>
      <c r="I53" s="245">
        <v>45316</v>
      </c>
      <c r="J53" s="246">
        <v>45330</v>
      </c>
      <c r="K53" s="247" t="s">
        <v>58</v>
      </c>
      <c r="L53" s="248"/>
      <c r="M53" s="248">
        <f>IF(Tableau3453[[#This Row],[Date 
du paiement]]="",$D$4-Tableau3453[[#This Row],[Date
de la facture]],Tableau3453[[#This Row],[Date 
du paiement]]-Tableau3453[[#This Row],[Date
de la facture]])</f>
        <v>15</v>
      </c>
      <c r="N53" s="241" t="str">
        <f>IF(Tableau3453[[#This Row],[Date 
du paiement]]="",IF(Tableau3453[[#This Row],[Jours]]&lt;30,Tableau3453[[#This Row],[Montant
de la facture
CHF]],""),"")</f>
        <v/>
      </c>
      <c r="O53" s="241" t="str">
        <f>IF(Tableau3453[[#This Row],[Date 
du paiement]]="",IF(Tableau3453[[#This Row],[Jours]]&gt;30,IF(Tableau3453[[#This Row],[Jours]]&lt;60,Tableau3453[[#This Row],[Montant
de la facture
CHF]],""),""),"")</f>
        <v/>
      </c>
      <c r="P53" s="241" t="str">
        <f>IF(Tableau3453[[#This Row],[Date 
du paiement]]="",IF(Tableau3453[[#This Row],[Jours]]&gt;60,Tableau3453[[#This Row],[Montant
de la facture
CHF]],""),"")</f>
        <v/>
      </c>
      <c r="Q53" s="249"/>
      <c r="R53" s="250" t="str">
        <f>Tableau3453[[#This Row],[Solde 
ouverte
fm]]</f>
        <v/>
      </c>
      <c r="S5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" spans="1:19" hidden="1" outlineLevel="1" x14ac:dyDescent="0.25">
      <c r="A54" s="238">
        <v>240064</v>
      </c>
      <c r="B54" s="239" t="s">
        <v>860</v>
      </c>
      <c r="C54" s="352" t="str">
        <f>IF(Tableau3453[[#This Row],[Date 
du paiement]]="",IF(Tableau3453[[#This Row],[Jours]]&gt;Tableau3453[[#This Row],[Conditions
pmt+]]+5,"oui",""),"")</f>
        <v/>
      </c>
      <c r="D54" s="238" t="s">
        <v>894</v>
      </c>
      <c r="E54" s="240">
        <v>45316</v>
      </c>
      <c r="F54" s="241">
        <v>6916.05</v>
      </c>
      <c r="G54" s="242" t="str">
        <f>IF(Tableau3453[[#This Row],[Date 
du paiement]]="",Tableau3453[[#This Row],[Montant
de la facture
CHF]],"")</f>
        <v/>
      </c>
      <c r="H54" s="243"/>
      <c r="I54" s="245">
        <v>45316</v>
      </c>
      <c r="J54" s="246">
        <v>45362</v>
      </c>
      <c r="K54" s="247" t="s">
        <v>58</v>
      </c>
      <c r="L54" s="248">
        <v>1</v>
      </c>
      <c r="M54" s="248">
        <f>IF(Tableau3453[[#This Row],[Date 
du paiement]]="",$D$4-Tableau3453[[#This Row],[Date
de la facture]],Tableau3453[[#This Row],[Date 
du paiement]]-Tableau3453[[#This Row],[Date
de la facture]])</f>
        <v>46</v>
      </c>
      <c r="N54" s="241" t="str">
        <f>IF(Tableau3453[[#This Row],[Date 
du paiement]]="",IF(Tableau3453[[#This Row],[Jours]]&lt;30,Tableau3453[[#This Row],[Montant
de la facture
CHF]],""),"")</f>
        <v/>
      </c>
      <c r="O54" s="241" t="str">
        <f>IF(Tableau3453[[#This Row],[Date 
du paiement]]="",IF(Tableau3453[[#This Row],[Jours]]&gt;30,IF(Tableau3453[[#This Row],[Jours]]&lt;60,Tableau3453[[#This Row],[Montant
de la facture
CHF]],""),""),"")</f>
        <v/>
      </c>
      <c r="P54" s="241" t="str">
        <f>IF(Tableau3453[[#This Row],[Date 
du paiement]]="",IF(Tableau3453[[#This Row],[Jours]]&gt;60,Tableau3453[[#This Row],[Montant
de la facture
CHF]],""),"")</f>
        <v/>
      </c>
      <c r="Q54" s="249"/>
      <c r="R54" s="250" t="str">
        <f>Tableau3453[[#This Row],[Solde 
ouverte
fm]]</f>
        <v/>
      </c>
      <c r="S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" spans="1:19" hidden="1" outlineLevel="1" x14ac:dyDescent="0.25">
      <c r="A55" s="238">
        <v>240060</v>
      </c>
      <c r="B55" s="239" t="s">
        <v>857</v>
      </c>
      <c r="C55" s="352" t="str">
        <f>IF(Tableau3453[[#This Row],[Date 
du paiement]]="",IF(Tableau3453[[#This Row],[Jours]]&gt;Tableau3453[[#This Row],[Conditions
pmt+]]+5,"oui",""),"")</f>
        <v/>
      </c>
      <c r="D55" s="238" t="s">
        <v>895</v>
      </c>
      <c r="E55" s="240">
        <v>45316</v>
      </c>
      <c r="F55" s="241">
        <v>1988.9</v>
      </c>
      <c r="G55" s="242" t="str">
        <f>IF(Tableau3453[[#This Row],[Date 
du paiement]]="",Tableau3453[[#This Row],[Montant
de la facture
CHF]],"")</f>
        <v/>
      </c>
      <c r="H55" s="243"/>
      <c r="I55" s="245">
        <v>45316</v>
      </c>
      <c r="J55" s="246">
        <v>45355</v>
      </c>
      <c r="K55" s="247" t="s">
        <v>58</v>
      </c>
      <c r="L55" s="248"/>
      <c r="M55" s="248">
        <f>IF(Tableau3453[[#This Row],[Date 
du paiement]]="",$D$4-Tableau3453[[#This Row],[Date
de la facture]],Tableau3453[[#This Row],[Date 
du paiement]]-Tableau3453[[#This Row],[Date
de la facture]])</f>
        <v>39</v>
      </c>
      <c r="N55" s="241" t="str">
        <f>IF(Tableau3453[[#This Row],[Date 
du paiement]]="",IF(Tableau3453[[#This Row],[Jours]]&lt;30,Tableau3453[[#This Row],[Montant
de la facture
CHF]],""),"")</f>
        <v/>
      </c>
      <c r="O55" s="241" t="str">
        <f>IF(Tableau3453[[#This Row],[Date 
du paiement]]="",IF(Tableau3453[[#This Row],[Jours]]&gt;30,IF(Tableau3453[[#This Row],[Jours]]&lt;60,Tableau3453[[#This Row],[Montant
de la facture
CHF]],""),""),"")</f>
        <v/>
      </c>
      <c r="P55" s="241" t="str">
        <f>IF(Tableau3453[[#This Row],[Date 
du paiement]]="",IF(Tableau3453[[#This Row],[Jours]]&gt;60,Tableau3453[[#This Row],[Montant
de la facture
CHF]],""),"")</f>
        <v/>
      </c>
      <c r="Q55" s="249"/>
      <c r="R55" s="250" t="str">
        <f>Tableau3453[[#This Row],[Solde 
ouverte
fm]]</f>
        <v/>
      </c>
      <c r="S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" spans="1:19" hidden="1" outlineLevel="1" x14ac:dyDescent="0.25">
      <c r="A56" s="238">
        <v>240068</v>
      </c>
      <c r="B56" s="239" t="s">
        <v>860</v>
      </c>
      <c r="C56" s="352" t="str">
        <f>IF(Tableau3453[[#This Row],[Date 
du paiement]]="",IF(Tableau3453[[#This Row],[Jours]]&gt;Tableau3453[[#This Row],[Conditions
pmt+]]+5,"oui",""),"")</f>
        <v/>
      </c>
      <c r="D56" s="238" t="s">
        <v>896</v>
      </c>
      <c r="E56" s="240">
        <v>45316</v>
      </c>
      <c r="F56" s="241">
        <v>2679.15</v>
      </c>
      <c r="G56" s="242" t="str">
        <f>IF(Tableau3453[[#This Row],[Date 
du paiement]]="",Tableau3453[[#This Row],[Montant
de la facture
CHF]],"")</f>
        <v/>
      </c>
      <c r="H56" s="243"/>
      <c r="I56" s="245">
        <v>45316</v>
      </c>
      <c r="J56" s="246">
        <v>45351</v>
      </c>
      <c r="K56" s="247" t="s">
        <v>58</v>
      </c>
      <c r="L56" s="248"/>
      <c r="M56" s="248">
        <f>IF(Tableau3453[[#This Row],[Date 
du paiement]]="",$D$4-Tableau3453[[#This Row],[Date
de la facture]],Tableau3453[[#This Row],[Date 
du paiement]]-Tableau3453[[#This Row],[Date
de la facture]])</f>
        <v>35</v>
      </c>
      <c r="N56" s="241" t="str">
        <f>IF(Tableau3453[[#This Row],[Date 
du paiement]]="",IF(Tableau3453[[#This Row],[Jours]]&lt;30,Tableau3453[[#This Row],[Montant
de la facture
CHF]],""),"")</f>
        <v/>
      </c>
      <c r="O56" s="241" t="str">
        <f>IF(Tableau3453[[#This Row],[Date 
du paiement]]="",IF(Tableau3453[[#This Row],[Jours]]&gt;30,IF(Tableau3453[[#This Row],[Jours]]&lt;60,Tableau3453[[#This Row],[Montant
de la facture
CHF]],""),""),"")</f>
        <v/>
      </c>
      <c r="P56" s="241" t="str">
        <f>IF(Tableau3453[[#This Row],[Date 
du paiement]]="",IF(Tableau3453[[#This Row],[Jours]]&gt;60,Tableau3453[[#This Row],[Montant
de la facture
CHF]],""),"")</f>
        <v/>
      </c>
      <c r="Q56" s="249"/>
      <c r="R56" s="250" t="str">
        <f>Tableau3453[[#This Row],[Solde 
ouverte
fm]]</f>
        <v/>
      </c>
      <c r="S5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" spans="1:19" hidden="1" outlineLevel="1" x14ac:dyDescent="0.25">
      <c r="A57" s="238">
        <v>240065</v>
      </c>
      <c r="B57" s="239" t="s">
        <v>860</v>
      </c>
      <c r="C57" s="352" t="str">
        <f>IF(Tableau3453[[#This Row],[Date 
du paiement]]="",IF(Tableau3453[[#This Row],[Jours]]&gt;Tableau3453[[#This Row],[Conditions
pmt+]]+5,"oui",""),"")</f>
        <v/>
      </c>
      <c r="D57" s="238" t="s">
        <v>897</v>
      </c>
      <c r="E57" s="240">
        <v>45316</v>
      </c>
      <c r="F57" s="241">
        <v>1704.95</v>
      </c>
      <c r="G57" s="242" t="str">
        <f>IF(Tableau3453[[#This Row],[Date 
du paiement]]="",Tableau3453[[#This Row],[Montant
de la facture
CHF]],"")</f>
        <v/>
      </c>
      <c r="H57" s="243"/>
      <c r="I57" s="245">
        <v>45316</v>
      </c>
      <c r="J57" s="246">
        <v>45323</v>
      </c>
      <c r="K57" s="247" t="s">
        <v>58</v>
      </c>
      <c r="L57" s="248"/>
      <c r="M57" s="248">
        <f>IF(Tableau3453[[#This Row],[Date 
du paiement]]="",$D$4-Tableau3453[[#This Row],[Date
de la facture]],Tableau3453[[#This Row],[Date 
du paiement]]-Tableau3453[[#This Row],[Date
de la facture]])</f>
        <v>7</v>
      </c>
      <c r="N57" s="241" t="str">
        <f>IF(Tableau3453[[#This Row],[Date 
du paiement]]="",IF(Tableau3453[[#This Row],[Jours]]&lt;30,Tableau3453[[#This Row],[Montant
de la facture
CHF]],""),"")</f>
        <v/>
      </c>
      <c r="O57" s="241" t="str">
        <f>IF(Tableau3453[[#This Row],[Date 
du paiement]]="",IF(Tableau3453[[#This Row],[Jours]]&gt;30,IF(Tableau3453[[#This Row],[Jours]]&lt;60,Tableau3453[[#This Row],[Montant
de la facture
CHF]],""),""),"")</f>
        <v/>
      </c>
      <c r="P57" s="241" t="str">
        <f>IF(Tableau3453[[#This Row],[Date 
du paiement]]="",IF(Tableau3453[[#This Row],[Jours]]&gt;60,Tableau3453[[#This Row],[Montant
de la facture
CHF]],""),"")</f>
        <v/>
      </c>
      <c r="Q57" s="249"/>
      <c r="R57" s="250" t="str">
        <f>Tableau3453[[#This Row],[Solde 
ouverte
fm]]</f>
        <v/>
      </c>
      <c r="S5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" spans="1:19" hidden="1" outlineLevel="1" x14ac:dyDescent="0.25">
      <c r="A58" s="238">
        <v>240070</v>
      </c>
      <c r="B58" s="239" t="s">
        <v>860</v>
      </c>
      <c r="C58" s="352" t="str">
        <f>IF(Tableau3453[[#This Row],[Date 
du paiement]]="",IF(Tableau3453[[#This Row],[Jours]]&gt;Tableau3453[[#This Row],[Conditions
pmt+]]+5,"oui",""),"")</f>
        <v/>
      </c>
      <c r="D58" s="238" t="s">
        <v>898</v>
      </c>
      <c r="E58" s="240">
        <v>45317</v>
      </c>
      <c r="F58" s="241">
        <v>703.4</v>
      </c>
      <c r="G58" s="242" t="str">
        <f>IF(Tableau3453[[#This Row],[Date 
du paiement]]="",Tableau3453[[#This Row],[Montant
de la facture
CHF]],"")</f>
        <v/>
      </c>
      <c r="H58" s="243"/>
      <c r="I58" s="245">
        <v>45317</v>
      </c>
      <c r="J58" s="246">
        <v>45352</v>
      </c>
      <c r="K58" s="247" t="s">
        <v>58</v>
      </c>
      <c r="L58" s="248"/>
      <c r="M58" s="248">
        <f>IF(Tableau3453[[#This Row],[Date 
du paiement]]="",$D$4-Tableau3453[[#This Row],[Date
de la facture]],Tableau3453[[#This Row],[Date 
du paiement]]-Tableau3453[[#This Row],[Date
de la facture]])</f>
        <v>35</v>
      </c>
      <c r="N58" s="241" t="str">
        <f>IF(Tableau3453[[#This Row],[Date 
du paiement]]="",IF(Tableau3453[[#This Row],[Jours]]&lt;30,Tableau3453[[#This Row],[Montant
de la facture
CHF]],""),"")</f>
        <v/>
      </c>
      <c r="O58" s="241" t="str">
        <f>IF(Tableau3453[[#This Row],[Date 
du paiement]]="",IF(Tableau3453[[#This Row],[Jours]]&gt;30,IF(Tableau3453[[#This Row],[Jours]]&lt;60,Tableau3453[[#This Row],[Montant
de la facture
CHF]],""),""),"")</f>
        <v/>
      </c>
      <c r="P58" s="241" t="str">
        <f>IF(Tableau3453[[#This Row],[Date 
du paiement]]="",IF(Tableau3453[[#This Row],[Jours]]&gt;60,Tableau3453[[#This Row],[Montant
de la facture
CHF]],""),"")</f>
        <v/>
      </c>
      <c r="Q58" s="249"/>
      <c r="R58" s="250" t="str">
        <f>Tableau3453[[#This Row],[Solde 
ouverte
fm]]</f>
        <v/>
      </c>
      <c r="S5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" spans="1:19" hidden="1" outlineLevel="1" x14ac:dyDescent="0.25">
      <c r="A59" s="238">
        <v>240076</v>
      </c>
      <c r="B59" s="239" t="s">
        <v>860</v>
      </c>
      <c r="C59" s="352" t="str">
        <f>IF(Tableau3453[[#This Row],[Date 
du paiement]]="",IF(Tableau3453[[#This Row],[Jours]]&gt;Tableau3453[[#This Row],[Conditions
pmt+]]+5,"oui",""),"")</f>
        <v/>
      </c>
      <c r="D59" s="238" t="s">
        <v>899</v>
      </c>
      <c r="E59" s="240">
        <v>45317</v>
      </c>
      <c r="F59" s="241">
        <v>3263.55</v>
      </c>
      <c r="G59" s="242" t="str">
        <f>IF(Tableau3453[[#This Row],[Date 
du paiement]]="",Tableau3453[[#This Row],[Montant
de la facture
CHF]],"")</f>
        <v/>
      </c>
      <c r="H59" s="243"/>
      <c r="I59" s="245">
        <v>45317</v>
      </c>
      <c r="J59" s="246">
        <v>45351</v>
      </c>
      <c r="K59" s="247" t="s">
        <v>58</v>
      </c>
      <c r="L59" s="248"/>
      <c r="M59" s="248">
        <f>IF(Tableau3453[[#This Row],[Date 
du paiement]]="",$D$4-Tableau3453[[#This Row],[Date
de la facture]],Tableau3453[[#This Row],[Date 
du paiement]]-Tableau3453[[#This Row],[Date
de la facture]])</f>
        <v>34</v>
      </c>
      <c r="N59" s="241" t="str">
        <f>IF(Tableau3453[[#This Row],[Date 
du paiement]]="",IF(Tableau3453[[#This Row],[Jours]]&lt;30,Tableau3453[[#This Row],[Montant
de la facture
CHF]],""),"")</f>
        <v/>
      </c>
      <c r="O59" s="241" t="str">
        <f>IF(Tableau3453[[#This Row],[Date 
du paiement]]="",IF(Tableau3453[[#This Row],[Jours]]&gt;30,IF(Tableau3453[[#This Row],[Jours]]&lt;60,Tableau3453[[#This Row],[Montant
de la facture
CHF]],""),""),"")</f>
        <v/>
      </c>
      <c r="P59" s="241" t="str">
        <f>IF(Tableau3453[[#This Row],[Date 
du paiement]]="",IF(Tableau3453[[#This Row],[Jours]]&gt;60,Tableau3453[[#This Row],[Montant
de la facture
CHF]],""),"")</f>
        <v/>
      </c>
      <c r="Q59" s="249"/>
      <c r="R59" s="250" t="str">
        <f>Tableau3453[[#This Row],[Solde 
ouverte
fm]]</f>
        <v/>
      </c>
      <c r="S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" spans="1:19" hidden="1" outlineLevel="1" x14ac:dyDescent="0.25">
      <c r="A60" s="238">
        <v>240067</v>
      </c>
      <c r="B60" s="239" t="s">
        <v>860</v>
      </c>
      <c r="C60" s="352" t="str">
        <f>IF(Tableau3453[[#This Row],[Date 
du paiement]]="",IF(Tableau3453[[#This Row],[Jours]]&gt;Tableau3453[[#This Row],[Conditions
pmt+]]+5,"oui",""),"")</f>
        <v/>
      </c>
      <c r="D60" s="238" t="s">
        <v>867</v>
      </c>
      <c r="E60" s="240">
        <v>45317</v>
      </c>
      <c r="F60" s="241">
        <v>304.89999999999998</v>
      </c>
      <c r="G60" s="242" t="str">
        <f>IF(Tableau3453[[#This Row],[Date 
du paiement]]="",Tableau3453[[#This Row],[Montant
de la facture
CHF]],"")</f>
        <v/>
      </c>
      <c r="H60" s="243"/>
      <c r="I60" s="245">
        <v>45320</v>
      </c>
      <c r="J60" s="246">
        <v>45345</v>
      </c>
      <c r="K60" s="247" t="s">
        <v>58</v>
      </c>
      <c r="L60" s="248"/>
      <c r="M60" s="248">
        <f>IF(Tableau3453[[#This Row],[Date 
du paiement]]="",$D$4-Tableau3453[[#This Row],[Date
de la facture]],Tableau3453[[#This Row],[Date 
du paiement]]-Tableau3453[[#This Row],[Date
de la facture]])</f>
        <v>28</v>
      </c>
      <c r="N60" s="241" t="str">
        <f>IF(Tableau3453[[#This Row],[Date 
du paiement]]="",IF(Tableau3453[[#This Row],[Jours]]&lt;30,Tableau3453[[#This Row],[Montant
de la facture
CHF]],""),"")</f>
        <v/>
      </c>
      <c r="O60" s="241" t="str">
        <f>IF(Tableau3453[[#This Row],[Date 
du paiement]]="",IF(Tableau3453[[#This Row],[Jours]]&gt;30,IF(Tableau3453[[#This Row],[Jours]]&lt;60,Tableau3453[[#This Row],[Montant
de la facture
CHF]],""),""),"")</f>
        <v/>
      </c>
      <c r="P60" s="241" t="str">
        <f>IF(Tableau3453[[#This Row],[Date 
du paiement]]="",IF(Tableau3453[[#This Row],[Jours]]&gt;60,Tableau3453[[#This Row],[Montant
de la facture
CHF]],""),"")</f>
        <v/>
      </c>
      <c r="Q60" s="249"/>
      <c r="R60" s="250" t="str">
        <f>Tableau3453[[#This Row],[Solde 
ouverte
fm]]</f>
        <v/>
      </c>
      <c r="S6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" spans="1:19" hidden="1" outlineLevel="1" x14ac:dyDescent="0.25">
      <c r="A61" s="238">
        <v>240078</v>
      </c>
      <c r="B61" s="239" t="s">
        <v>860</v>
      </c>
      <c r="C61" s="352" t="str">
        <f>IF(Tableau3453[[#This Row],[Date 
du paiement]]="",IF(Tableau3453[[#This Row],[Jours]]&gt;Tableau3453[[#This Row],[Conditions
pmt+]]+5,"oui",""),"")</f>
        <v/>
      </c>
      <c r="D61" s="238" t="s">
        <v>900</v>
      </c>
      <c r="E61" s="240">
        <v>45320</v>
      </c>
      <c r="F61" s="241">
        <v>1608.55</v>
      </c>
      <c r="G61" s="242" t="str">
        <f>IF(Tableau3453[[#This Row],[Date 
du paiement]]="",Tableau3453[[#This Row],[Montant
de la facture
CHF]],"")</f>
        <v/>
      </c>
      <c r="H61" s="243"/>
      <c r="I61" s="245">
        <v>45324</v>
      </c>
      <c r="J61" s="246">
        <v>45359</v>
      </c>
      <c r="K61" s="247" t="s">
        <v>58</v>
      </c>
      <c r="L61" s="248"/>
      <c r="M61" s="248">
        <f>IF(Tableau3453[[#This Row],[Date 
du paiement]]="",$D$4-Tableau3453[[#This Row],[Date
de la facture]],Tableau3453[[#This Row],[Date 
du paiement]]-Tableau3453[[#This Row],[Date
de la facture]])</f>
        <v>39</v>
      </c>
      <c r="N61" s="241" t="str">
        <f>IF(Tableau3453[[#This Row],[Date 
du paiement]]="",IF(Tableau3453[[#This Row],[Jours]]&lt;30,Tableau3453[[#This Row],[Montant
de la facture
CHF]],""),"")</f>
        <v/>
      </c>
      <c r="O61" s="241" t="str">
        <f>IF(Tableau3453[[#This Row],[Date 
du paiement]]="",IF(Tableau3453[[#This Row],[Jours]]&gt;30,IF(Tableau3453[[#This Row],[Jours]]&lt;60,Tableau3453[[#This Row],[Montant
de la facture
CHF]],""),""),"")</f>
        <v/>
      </c>
      <c r="P61" s="241" t="str">
        <f>IF(Tableau3453[[#This Row],[Date 
du paiement]]="",IF(Tableau3453[[#This Row],[Jours]]&gt;60,Tableau3453[[#This Row],[Montant
de la facture
CHF]],""),"")</f>
        <v/>
      </c>
      <c r="Q61" s="249"/>
      <c r="R61" s="250" t="str">
        <f>Tableau3453[[#This Row],[Solde 
ouverte
fm]]</f>
        <v/>
      </c>
      <c r="S6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" spans="1:19" hidden="1" outlineLevel="1" x14ac:dyDescent="0.25">
      <c r="A62" s="238">
        <v>240077</v>
      </c>
      <c r="B62" s="239" t="s">
        <v>860</v>
      </c>
      <c r="C62" s="352" t="str">
        <f>IF(Tableau3453[[#This Row],[Date 
du paiement]]="",IF(Tableau3453[[#This Row],[Jours]]&gt;Tableau3453[[#This Row],[Conditions
pmt+]]+5,"oui",""),"")</f>
        <v/>
      </c>
      <c r="D62" s="238" t="s">
        <v>901</v>
      </c>
      <c r="E62" s="240">
        <v>45320</v>
      </c>
      <c r="F62" s="241">
        <v>2253.9</v>
      </c>
      <c r="G62" s="242" t="str">
        <f>IF(Tableau3453[[#This Row],[Date 
du paiement]]="",Tableau3453[[#This Row],[Montant
de la facture
CHF]],"")</f>
        <v/>
      </c>
      <c r="H62" s="243"/>
      <c r="I62" s="245">
        <v>45320</v>
      </c>
      <c r="J62" s="246">
        <v>45350</v>
      </c>
      <c r="K62" s="247" t="s">
        <v>58</v>
      </c>
      <c r="L62" s="248"/>
      <c r="M62" s="248">
        <f>IF(Tableau3453[[#This Row],[Date 
du paiement]]="",$D$4-Tableau3453[[#This Row],[Date
de la facture]],Tableau3453[[#This Row],[Date 
du paiement]]-Tableau3453[[#This Row],[Date
de la facture]])</f>
        <v>30</v>
      </c>
      <c r="N62" s="241" t="str">
        <f>IF(Tableau3453[[#This Row],[Date 
du paiement]]="",IF(Tableau3453[[#This Row],[Jours]]&lt;30,Tableau3453[[#This Row],[Montant
de la facture
CHF]],""),"")</f>
        <v/>
      </c>
      <c r="O62" s="241" t="str">
        <f>IF(Tableau3453[[#This Row],[Date 
du paiement]]="",IF(Tableau3453[[#This Row],[Jours]]&gt;30,IF(Tableau3453[[#This Row],[Jours]]&lt;60,Tableau3453[[#This Row],[Montant
de la facture
CHF]],""),""),"")</f>
        <v/>
      </c>
      <c r="P62" s="241" t="str">
        <f>IF(Tableau3453[[#This Row],[Date 
du paiement]]="",IF(Tableau3453[[#This Row],[Jours]]&gt;60,Tableau3453[[#This Row],[Montant
de la facture
CHF]],""),"")</f>
        <v/>
      </c>
      <c r="Q62" s="249"/>
      <c r="R62" s="250" t="str">
        <f>Tableau3453[[#This Row],[Solde 
ouverte
fm]]</f>
        <v/>
      </c>
      <c r="S6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" spans="1:19" hidden="1" outlineLevel="1" x14ac:dyDescent="0.25">
      <c r="A63" s="238">
        <v>240072</v>
      </c>
      <c r="B63" s="239" t="s">
        <v>860</v>
      </c>
      <c r="C63" s="352" t="str">
        <f>IF(Tableau3453[[#This Row],[Date 
du paiement]]="",IF(Tableau3453[[#This Row],[Jours]]&gt;Tableau3453[[#This Row],[Conditions
pmt+]]+5,"oui",""),"")</f>
        <v/>
      </c>
      <c r="D63" s="238" t="s">
        <v>902</v>
      </c>
      <c r="E63" s="240">
        <v>45320</v>
      </c>
      <c r="F63" s="241">
        <v>166.95</v>
      </c>
      <c r="G63" s="242" t="str">
        <f>IF(Tableau3453[[#This Row],[Date 
du paiement]]="",Tableau3453[[#This Row],[Montant
de la facture
CHF]],"")</f>
        <v/>
      </c>
      <c r="H63" s="243"/>
      <c r="I63" s="245">
        <v>45320</v>
      </c>
      <c r="J63" s="246">
        <v>45345</v>
      </c>
      <c r="K63" s="247" t="s">
        <v>58</v>
      </c>
      <c r="L63" s="248"/>
      <c r="M63" s="248">
        <f>IF(Tableau3453[[#This Row],[Date 
du paiement]]="",$D$4-Tableau3453[[#This Row],[Date
de la facture]],Tableau3453[[#This Row],[Date 
du paiement]]-Tableau3453[[#This Row],[Date
de la facture]])</f>
        <v>25</v>
      </c>
      <c r="N63" s="241" t="str">
        <f>IF(Tableau3453[[#This Row],[Date 
du paiement]]="",IF(Tableau3453[[#This Row],[Jours]]&lt;30,Tableau3453[[#This Row],[Montant
de la facture
CHF]],""),"")</f>
        <v/>
      </c>
      <c r="O63" s="241" t="str">
        <f>IF(Tableau3453[[#This Row],[Date 
du paiement]]="",IF(Tableau3453[[#This Row],[Jours]]&gt;30,IF(Tableau3453[[#This Row],[Jours]]&lt;60,Tableau3453[[#This Row],[Montant
de la facture
CHF]],""),""),"")</f>
        <v/>
      </c>
      <c r="P63" s="241" t="str">
        <f>IF(Tableau3453[[#This Row],[Date 
du paiement]]="",IF(Tableau3453[[#This Row],[Jours]]&gt;60,Tableau3453[[#This Row],[Montant
de la facture
CHF]],""),"")</f>
        <v/>
      </c>
      <c r="Q63" s="249"/>
      <c r="R63" s="250" t="str">
        <f>Tableau3453[[#This Row],[Solde 
ouverte
fm]]</f>
        <v/>
      </c>
      <c r="S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" spans="1:19" hidden="1" outlineLevel="1" x14ac:dyDescent="0.25">
      <c r="A64" s="238">
        <v>240079</v>
      </c>
      <c r="B64" s="239" t="s">
        <v>860</v>
      </c>
      <c r="C64" s="352" t="str">
        <f>IF(Tableau3453[[#This Row],[Date 
du paiement]]="",IF(Tableau3453[[#This Row],[Jours]]&gt;Tableau3453[[#This Row],[Conditions
pmt+]]+5,"oui",""),"")</f>
        <v/>
      </c>
      <c r="D64" s="238" t="s">
        <v>903</v>
      </c>
      <c r="E64" s="240">
        <v>45321</v>
      </c>
      <c r="F64" s="241">
        <v>44.2</v>
      </c>
      <c r="G64" s="242" t="str">
        <f>IF(Tableau3453[[#This Row],[Date 
du paiement]]="",Tableau3453[[#This Row],[Montant
de la facture
CHF]],"")</f>
        <v/>
      </c>
      <c r="H64" s="243" t="s">
        <v>904</v>
      </c>
      <c r="I64" s="245">
        <v>45324</v>
      </c>
      <c r="J64" s="246">
        <v>45377</v>
      </c>
      <c r="K64" s="247" t="s">
        <v>58</v>
      </c>
      <c r="L64" s="248">
        <v>1</v>
      </c>
      <c r="M64" s="248">
        <f>IF(Tableau3453[[#This Row],[Date 
du paiement]]="",$D$4-Tableau3453[[#This Row],[Date
de la facture]],Tableau3453[[#This Row],[Date 
du paiement]]-Tableau3453[[#This Row],[Date
de la facture]])</f>
        <v>56</v>
      </c>
      <c r="N64" s="241" t="str">
        <f>IF(Tableau3453[[#This Row],[Date 
du paiement]]="",IF(Tableau3453[[#This Row],[Jours]]&lt;30,Tableau3453[[#This Row],[Montant
de la facture
CHF]],""),"")</f>
        <v/>
      </c>
      <c r="O64" s="241" t="str">
        <f>IF(Tableau3453[[#This Row],[Date 
du paiement]]="",IF(Tableau3453[[#This Row],[Jours]]&gt;30,IF(Tableau3453[[#This Row],[Jours]]&lt;60,Tableau3453[[#This Row],[Montant
de la facture
CHF]],""),""),"")</f>
        <v/>
      </c>
      <c r="P64" s="241" t="str">
        <f>IF(Tableau3453[[#This Row],[Date 
du paiement]]="",IF(Tableau3453[[#This Row],[Jours]]&gt;60,Tableau3453[[#This Row],[Montant
de la facture
CHF]],""),"")</f>
        <v/>
      </c>
      <c r="Q64" s="249"/>
      <c r="R64" s="250" t="str">
        <f>Tableau3453[[#This Row],[Solde 
ouverte
fm]]</f>
        <v/>
      </c>
      <c r="S6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" spans="1:19" hidden="1" outlineLevel="1" x14ac:dyDescent="0.25">
      <c r="A65" s="238">
        <v>240090</v>
      </c>
      <c r="B65" s="239" t="s">
        <v>860</v>
      </c>
      <c r="C65" s="352" t="str">
        <f>IF(Tableau3453[[#This Row],[Date 
du paiement]]="",IF(Tableau3453[[#This Row],[Jours]]&gt;Tableau3453[[#This Row],[Conditions
pmt+]]+5,"oui",""),"")</f>
        <v/>
      </c>
      <c r="D65" s="238" t="s">
        <v>887</v>
      </c>
      <c r="E65" s="240">
        <v>45321</v>
      </c>
      <c r="F65" s="241">
        <v>1700.65</v>
      </c>
      <c r="G65" s="242" t="str">
        <f>IF(Tableau3453[[#This Row],[Date 
du paiement]]="",Tableau3453[[#This Row],[Montant
de la facture
CHF]],"")</f>
        <v/>
      </c>
      <c r="H65" s="243"/>
      <c r="I65" s="245">
        <v>45324</v>
      </c>
      <c r="J65" s="246">
        <v>45359</v>
      </c>
      <c r="K65" s="247" t="s">
        <v>58</v>
      </c>
      <c r="L65" s="248"/>
      <c r="M65" s="248">
        <f>IF(Tableau3453[[#This Row],[Date 
du paiement]]="",$D$4-Tableau3453[[#This Row],[Date
de la facture]],Tableau3453[[#This Row],[Date 
du paiement]]-Tableau3453[[#This Row],[Date
de la facture]])</f>
        <v>38</v>
      </c>
      <c r="N65" s="241" t="str">
        <f>IF(Tableau3453[[#This Row],[Date 
du paiement]]="",IF(Tableau3453[[#This Row],[Jours]]&lt;30,Tableau3453[[#This Row],[Montant
de la facture
CHF]],""),"")</f>
        <v/>
      </c>
      <c r="O65" s="241" t="str">
        <f>IF(Tableau3453[[#This Row],[Date 
du paiement]]="",IF(Tableau3453[[#This Row],[Jours]]&gt;30,IF(Tableau3453[[#This Row],[Jours]]&lt;60,Tableau3453[[#This Row],[Montant
de la facture
CHF]],""),""),"")</f>
        <v/>
      </c>
      <c r="P65" s="241" t="str">
        <f>IF(Tableau3453[[#This Row],[Date 
du paiement]]="",IF(Tableau3453[[#This Row],[Jours]]&gt;60,Tableau3453[[#This Row],[Montant
de la facture
CHF]],""),"")</f>
        <v/>
      </c>
      <c r="Q65" s="249"/>
      <c r="R65" s="250" t="str">
        <f>Tableau3453[[#This Row],[Solde 
ouverte
fm]]</f>
        <v/>
      </c>
      <c r="S6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" spans="1:19" hidden="1" outlineLevel="1" x14ac:dyDescent="0.25">
      <c r="A66" s="238">
        <v>240032</v>
      </c>
      <c r="B66" s="239" t="s">
        <v>860</v>
      </c>
      <c r="C66" s="352" t="str">
        <f>IF(Tableau3453[[#This Row],[Date 
du paiement]]="",IF(Tableau3453[[#This Row],[Jours]]&gt;Tableau3453[[#This Row],[Conditions
pmt+]]+5,"oui",""),"")</f>
        <v/>
      </c>
      <c r="D66" s="238" t="s">
        <v>905</v>
      </c>
      <c r="E66" s="240">
        <v>45321</v>
      </c>
      <c r="F66" s="241">
        <v>408.3</v>
      </c>
      <c r="G66" s="242" t="str">
        <f>IF(Tableau3453[[#This Row],[Date 
du paiement]]="",Tableau3453[[#This Row],[Montant
de la facture
CHF]],"")</f>
        <v/>
      </c>
      <c r="H66" s="243"/>
      <c r="I66" s="245">
        <v>45324</v>
      </c>
      <c r="J66" s="246">
        <v>45348</v>
      </c>
      <c r="K66" s="247" t="s">
        <v>58</v>
      </c>
      <c r="L66" s="248"/>
      <c r="M66" s="248">
        <f>IF(Tableau3453[[#This Row],[Date 
du paiement]]="",$D$4-Tableau3453[[#This Row],[Date
de la facture]],Tableau3453[[#This Row],[Date 
du paiement]]-Tableau3453[[#This Row],[Date
de la facture]])</f>
        <v>27</v>
      </c>
      <c r="N66" s="241" t="str">
        <f>IF(Tableau3453[[#This Row],[Date 
du paiement]]="",IF(Tableau3453[[#This Row],[Jours]]&lt;30,Tableau3453[[#This Row],[Montant
de la facture
CHF]],""),"")</f>
        <v/>
      </c>
      <c r="O66" s="241" t="str">
        <f>IF(Tableau3453[[#This Row],[Date 
du paiement]]="",IF(Tableau3453[[#This Row],[Jours]]&gt;30,IF(Tableau3453[[#This Row],[Jours]]&lt;60,Tableau3453[[#This Row],[Montant
de la facture
CHF]],""),""),"")</f>
        <v/>
      </c>
      <c r="P66" s="241" t="str">
        <f>IF(Tableau3453[[#This Row],[Date 
du paiement]]="",IF(Tableau3453[[#This Row],[Jours]]&gt;60,Tableau3453[[#This Row],[Montant
de la facture
CHF]],""),"")</f>
        <v/>
      </c>
      <c r="Q66" s="249"/>
      <c r="R66" s="250" t="str">
        <f>Tableau3453[[#This Row],[Solde 
ouverte
fm]]</f>
        <v/>
      </c>
      <c r="S6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" spans="1:19" hidden="1" outlineLevel="1" x14ac:dyDescent="0.25">
      <c r="A67" s="238">
        <v>240091</v>
      </c>
      <c r="B67" s="239" t="s">
        <v>860</v>
      </c>
      <c r="C67" s="352" t="str">
        <f>IF(Tableau3453[[#This Row],[Date 
du paiement]]="",IF(Tableau3453[[#This Row],[Jours]]&gt;Tableau3453[[#This Row],[Conditions
pmt+]]+5,"oui",""),"")</f>
        <v/>
      </c>
      <c r="D67" s="238" t="s">
        <v>880</v>
      </c>
      <c r="E67" s="240">
        <v>45322</v>
      </c>
      <c r="F67" s="241">
        <v>2175.65</v>
      </c>
      <c r="G67" s="242" t="str">
        <f>IF(Tableau3453[[#This Row],[Date 
du paiement]]="",Tableau3453[[#This Row],[Montant
de la facture
CHF]],"")</f>
        <v/>
      </c>
      <c r="H67" s="243"/>
      <c r="I67" s="245">
        <v>45324</v>
      </c>
      <c r="J67" s="246">
        <v>45349</v>
      </c>
      <c r="K67" s="247" t="s">
        <v>58</v>
      </c>
      <c r="L67" s="248"/>
      <c r="M67" s="248">
        <f>IF(Tableau3453[[#This Row],[Date 
du paiement]]="",$D$4-Tableau3453[[#This Row],[Date
de la facture]],Tableau3453[[#This Row],[Date 
du paiement]]-Tableau3453[[#This Row],[Date
de la facture]])</f>
        <v>27</v>
      </c>
      <c r="N67" s="241" t="str">
        <f>IF(Tableau3453[[#This Row],[Date 
du paiement]]="",IF(Tableau3453[[#This Row],[Jours]]&lt;30,Tableau3453[[#This Row],[Montant
de la facture
CHF]],""),"")</f>
        <v/>
      </c>
      <c r="O67" s="241" t="str">
        <f>IF(Tableau3453[[#This Row],[Date 
du paiement]]="",IF(Tableau3453[[#This Row],[Jours]]&gt;30,IF(Tableau3453[[#This Row],[Jours]]&lt;60,Tableau3453[[#This Row],[Montant
de la facture
CHF]],""),""),"")</f>
        <v/>
      </c>
      <c r="P67" s="241" t="str">
        <f>IF(Tableau3453[[#This Row],[Date 
du paiement]]="",IF(Tableau3453[[#This Row],[Jours]]&gt;60,Tableau3453[[#This Row],[Montant
de la facture
CHF]],""),"")</f>
        <v/>
      </c>
      <c r="Q67" s="249"/>
      <c r="R67" s="250" t="str">
        <f>Tableau3453[[#This Row],[Solde 
ouverte
fm]]</f>
        <v/>
      </c>
      <c r="S6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" spans="1:19" hidden="1" outlineLevel="1" x14ac:dyDescent="0.25">
      <c r="A68" s="238">
        <v>240089</v>
      </c>
      <c r="B68" s="239" t="s">
        <v>860</v>
      </c>
      <c r="C68" s="352" t="str">
        <f>IF(Tableau3453[[#This Row],[Date 
du paiement]]="",IF(Tableau3453[[#This Row],[Jours]]&gt;Tableau3453[[#This Row],[Conditions
pmt+]]+5,"oui",""),"")</f>
        <v/>
      </c>
      <c r="D68" s="238" t="s">
        <v>906</v>
      </c>
      <c r="E68" s="240">
        <v>45322</v>
      </c>
      <c r="F68" s="241">
        <v>717.8</v>
      </c>
      <c r="G68" s="242" t="str">
        <f>IF(Tableau3453[[#This Row],[Date 
du paiement]]="",Tableau3453[[#This Row],[Montant
de la facture
CHF]],"")</f>
        <v/>
      </c>
      <c r="H68" s="243"/>
      <c r="I68" s="245">
        <v>45321</v>
      </c>
      <c r="J68" s="246">
        <v>45321</v>
      </c>
      <c r="K68" s="247" t="s">
        <v>907</v>
      </c>
      <c r="L68" s="248"/>
      <c r="M68" s="248">
        <f>IF(Tableau3453[[#This Row],[Date 
du paiement]]="",$D$4-Tableau3453[[#This Row],[Date
de la facture]],Tableau3453[[#This Row],[Date 
du paiement]]-Tableau3453[[#This Row],[Date
de la facture]])</f>
        <v>-1</v>
      </c>
      <c r="N68" s="241" t="str">
        <f>IF(Tableau3453[[#This Row],[Date 
du paiement]]="",IF(Tableau3453[[#This Row],[Jours]]&lt;30,Tableau3453[[#This Row],[Montant
de la facture
CHF]],""),"")</f>
        <v/>
      </c>
      <c r="O68" s="241" t="str">
        <f>IF(Tableau3453[[#This Row],[Date 
du paiement]]="",IF(Tableau3453[[#This Row],[Jours]]&gt;30,IF(Tableau3453[[#This Row],[Jours]]&lt;60,Tableau3453[[#This Row],[Montant
de la facture
CHF]],""),""),"")</f>
        <v/>
      </c>
      <c r="P68" s="241" t="str">
        <f>IF(Tableau3453[[#This Row],[Date 
du paiement]]="",IF(Tableau3453[[#This Row],[Jours]]&gt;60,Tableau3453[[#This Row],[Montant
de la facture
CHF]],""),"")</f>
        <v/>
      </c>
      <c r="Q68" s="249"/>
      <c r="R68" s="267" t="str">
        <f>Tableau3453[[#This Row],[Solde 
ouverte
fm]]</f>
        <v/>
      </c>
      <c r="S6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9" spans="1:19" hidden="1" outlineLevel="1" x14ac:dyDescent="0.25">
      <c r="A69" s="238">
        <v>240109</v>
      </c>
      <c r="B69" s="239" t="s">
        <v>870</v>
      </c>
      <c r="C69" s="352" t="str">
        <f>IF(Tableau3453[[#This Row],[Date 
du paiement]]="",IF(Tableau3453[[#This Row],[Jours]]&gt;Tableau3453[[#This Row],[Conditions
pmt+]]+5,"oui",""),"")</f>
        <v/>
      </c>
      <c r="D69" s="238" t="s">
        <v>871</v>
      </c>
      <c r="E69" s="240">
        <v>45323</v>
      </c>
      <c r="F69" s="241">
        <v>721.9</v>
      </c>
      <c r="G69" s="242" t="str">
        <f>IF(Tableau3453[[#This Row],[Date 
du paiement]]="",Tableau3453[[#This Row],[Montant
de la facture
CHF]],"")</f>
        <v/>
      </c>
      <c r="H69" s="243"/>
      <c r="I69" s="245">
        <v>45324</v>
      </c>
      <c r="J69" s="246">
        <v>45399</v>
      </c>
      <c r="K69" s="247" t="s">
        <v>58</v>
      </c>
      <c r="L69" s="248">
        <v>2</v>
      </c>
      <c r="M69" s="248">
        <f>IF(Tableau3453[[#This Row],[Date 
du paiement]]="",$D$4-Tableau3453[[#This Row],[Date
de la facture]],Tableau3453[[#This Row],[Date 
du paiement]]-Tableau3453[[#This Row],[Date
de la facture]])</f>
        <v>76</v>
      </c>
      <c r="N69" s="241" t="str">
        <f>IF(Tableau3453[[#This Row],[Date 
du paiement]]="",IF(Tableau3453[[#This Row],[Jours]]&lt;30,Tableau3453[[#This Row],[Montant
de la facture
CHF]],""),"")</f>
        <v/>
      </c>
      <c r="O69" s="241" t="str">
        <f>IF(Tableau3453[[#This Row],[Date 
du paiement]]="",IF(Tableau3453[[#This Row],[Jours]]&gt;30,IF(Tableau3453[[#This Row],[Jours]]&lt;60,Tableau3453[[#This Row],[Montant
de la facture
CHF]],""),""),"")</f>
        <v/>
      </c>
      <c r="P69" s="241" t="str">
        <f>IF(Tableau3453[[#This Row],[Date 
du paiement]]="",IF(Tableau3453[[#This Row],[Jours]]&gt;60,Tableau3453[[#This Row],[Montant
de la facture
CHF]],""),"")</f>
        <v/>
      </c>
      <c r="Q69" s="249"/>
      <c r="R69" s="250" t="str">
        <f>Tableau3453[[#This Row],[Solde 
ouverte
fm]]</f>
        <v/>
      </c>
      <c r="S6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0" spans="1:19" hidden="1" outlineLevel="1" x14ac:dyDescent="0.25">
      <c r="A70" s="238">
        <v>240051</v>
      </c>
      <c r="B70" s="239" t="s">
        <v>857</v>
      </c>
      <c r="C70" s="352" t="str">
        <f>IF(Tableau3453[[#This Row],[Date 
du paiement]]="",IF(Tableau3453[[#This Row],[Jours]]&gt;Tableau3453[[#This Row],[Conditions
pmt+]]+5,"oui",""),"")</f>
        <v/>
      </c>
      <c r="D70" s="251" t="s">
        <v>865</v>
      </c>
      <c r="E70" s="240">
        <v>45323</v>
      </c>
      <c r="F70" s="241">
        <v>198.25</v>
      </c>
      <c r="G70" s="242" t="str">
        <f>IF(Tableau3453[[#This Row],[Date 
du paiement]]="",Tableau3453[[#This Row],[Montant
de la facture
CHF]],"")</f>
        <v/>
      </c>
      <c r="H70" s="243"/>
      <c r="I70" s="245">
        <v>45324</v>
      </c>
      <c r="J70" s="246">
        <v>45390</v>
      </c>
      <c r="K70" s="247" t="s">
        <v>58</v>
      </c>
      <c r="L70" s="248">
        <v>1</v>
      </c>
      <c r="M70" s="248">
        <f>IF(Tableau3453[[#This Row],[Date 
du paiement]]="",$D$4-Tableau3453[[#This Row],[Date
de la facture]],Tableau3453[[#This Row],[Date 
du paiement]]-Tableau3453[[#This Row],[Date
de la facture]])</f>
        <v>67</v>
      </c>
      <c r="N70" s="241" t="str">
        <f>IF(Tableau3453[[#This Row],[Date 
du paiement]]="",IF(Tableau3453[[#This Row],[Jours]]&lt;30,Tableau3453[[#This Row],[Montant
de la facture
CHF]],""),"")</f>
        <v/>
      </c>
      <c r="O70" s="241" t="str">
        <f>IF(Tableau3453[[#This Row],[Date 
du paiement]]="",IF(Tableau3453[[#This Row],[Jours]]&gt;30,IF(Tableau3453[[#This Row],[Jours]]&lt;60,Tableau3453[[#This Row],[Montant
de la facture
CHF]],""),""),"")</f>
        <v/>
      </c>
      <c r="P70" s="241" t="str">
        <f>IF(Tableau3453[[#This Row],[Date 
du paiement]]="",IF(Tableau3453[[#This Row],[Jours]]&gt;60,Tableau3453[[#This Row],[Montant
de la facture
CHF]],""),"")</f>
        <v/>
      </c>
      <c r="Q70" s="249"/>
      <c r="R70" s="250" t="str">
        <f>Tableau3453[[#This Row],[Solde 
ouverte
fm]]</f>
        <v/>
      </c>
      <c r="S7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" spans="1:19" hidden="1" outlineLevel="1" x14ac:dyDescent="0.25">
      <c r="A71" s="238">
        <v>240097</v>
      </c>
      <c r="B71" s="239" t="s">
        <v>860</v>
      </c>
      <c r="C71" s="352" t="str">
        <f>IF(Tableau3453[[#This Row],[Date 
du paiement]]="",IF(Tableau3453[[#This Row],[Jours]]&gt;Tableau3453[[#This Row],[Conditions
pmt+]]+5,"oui",""),"")</f>
        <v/>
      </c>
      <c r="D71" s="253" t="s">
        <v>863</v>
      </c>
      <c r="E71" s="240">
        <v>45323</v>
      </c>
      <c r="F71" s="241">
        <v>3975.8</v>
      </c>
      <c r="G71" s="242" t="str">
        <f>IF(Tableau3453[[#This Row],[Date 
du paiement]]="",Tableau3453[[#This Row],[Montant
de la facture
CHF]],"")</f>
        <v/>
      </c>
      <c r="H71" s="243"/>
      <c r="I71" s="245">
        <v>45324</v>
      </c>
      <c r="J71" s="246">
        <v>45359</v>
      </c>
      <c r="K71" s="247" t="s">
        <v>58</v>
      </c>
      <c r="L71" s="248"/>
      <c r="M71" s="248">
        <f>IF(Tableau3453[[#This Row],[Date 
du paiement]]="",$D$4-Tableau3453[[#This Row],[Date
de la facture]],Tableau3453[[#This Row],[Date 
du paiement]]-Tableau3453[[#This Row],[Date
de la facture]])</f>
        <v>36</v>
      </c>
      <c r="N71" s="241" t="str">
        <f>IF(Tableau3453[[#This Row],[Date 
du paiement]]="",IF(Tableau3453[[#This Row],[Jours]]&lt;30,Tableau3453[[#This Row],[Montant
de la facture
CHF]],""),"")</f>
        <v/>
      </c>
      <c r="O71" s="241" t="str">
        <f>IF(Tableau3453[[#This Row],[Date 
du paiement]]="",IF(Tableau3453[[#This Row],[Jours]]&gt;30,IF(Tableau3453[[#This Row],[Jours]]&lt;60,Tableau3453[[#This Row],[Montant
de la facture
CHF]],""),""),"")</f>
        <v/>
      </c>
      <c r="P71" s="241" t="str">
        <f>IF(Tableau3453[[#This Row],[Date 
du paiement]]="",IF(Tableau3453[[#This Row],[Jours]]&gt;60,Tableau3453[[#This Row],[Montant
de la facture
CHF]],""),"")</f>
        <v/>
      </c>
      <c r="Q71" s="249"/>
      <c r="R71" s="250" t="str">
        <f>Tableau3453[[#This Row],[Solde 
ouverte
fm]]</f>
        <v/>
      </c>
      <c r="S7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2" spans="1:19" hidden="1" outlineLevel="1" x14ac:dyDescent="0.25">
      <c r="A72" s="238">
        <v>240093</v>
      </c>
      <c r="B72" s="239" t="s">
        <v>860</v>
      </c>
      <c r="C72" s="352" t="str">
        <f>IF(Tableau3453[[#This Row],[Date 
du paiement]]="",IF(Tableau3453[[#This Row],[Jours]]&gt;Tableau3453[[#This Row],[Conditions
pmt+]]+5,"oui",""),"")</f>
        <v/>
      </c>
      <c r="D72" s="238" t="s">
        <v>908</v>
      </c>
      <c r="E72" s="240">
        <v>45323</v>
      </c>
      <c r="F72" s="241">
        <v>236.65</v>
      </c>
      <c r="G72" s="242" t="str">
        <f>IF(Tableau3453[[#This Row],[Date 
du paiement]]="",Tableau3453[[#This Row],[Montant
de la facture
CHF]],"")</f>
        <v/>
      </c>
      <c r="H72" s="243"/>
      <c r="I72" s="245">
        <v>45324</v>
      </c>
      <c r="J72" s="246">
        <v>45348</v>
      </c>
      <c r="K72" s="247" t="s">
        <v>58</v>
      </c>
      <c r="L72" s="248"/>
      <c r="M72" s="248">
        <f>IF(Tableau3453[[#This Row],[Date 
du paiement]]="",$D$4-Tableau3453[[#This Row],[Date
de la facture]],Tableau3453[[#This Row],[Date 
du paiement]]-Tableau3453[[#This Row],[Date
de la facture]])</f>
        <v>25</v>
      </c>
      <c r="N72" s="241" t="str">
        <f>IF(Tableau3453[[#This Row],[Date 
du paiement]]="",IF(Tableau3453[[#This Row],[Jours]]&lt;30,Tableau3453[[#This Row],[Montant
de la facture
CHF]],""),"")</f>
        <v/>
      </c>
      <c r="O72" s="241" t="str">
        <f>IF(Tableau3453[[#This Row],[Date 
du paiement]]="",IF(Tableau3453[[#This Row],[Jours]]&gt;30,IF(Tableau3453[[#This Row],[Jours]]&lt;60,Tableau3453[[#This Row],[Montant
de la facture
CHF]],""),""),"")</f>
        <v/>
      </c>
      <c r="P72" s="241" t="str">
        <f>IF(Tableau3453[[#This Row],[Date 
du paiement]]="",IF(Tableau3453[[#This Row],[Jours]]&gt;60,Tableau3453[[#This Row],[Montant
de la facture
CHF]],""),"")</f>
        <v/>
      </c>
      <c r="Q72" s="249"/>
      <c r="R72" s="250" t="str">
        <f>Tableau3453[[#This Row],[Solde 
ouverte
fm]]</f>
        <v/>
      </c>
      <c r="S7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3" spans="1:19" hidden="1" outlineLevel="1" x14ac:dyDescent="0.25">
      <c r="A73" s="238">
        <v>240095</v>
      </c>
      <c r="B73" s="239" t="s">
        <v>860</v>
      </c>
      <c r="C73" s="352" t="str">
        <f>IF(Tableau3453[[#This Row],[Date 
du paiement]]="",IF(Tableau3453[[#This Row],[Jours]]&gt;Tableau3453[[#This Row],[Conditions
pmt+]]+5,"oui",""),"")</f>
        <v/>
      </c>
      <c r="D73" s="238" t="s">
        <v>380</v>
      </c>
      <c r="E73" s="240">
        <v>45323</v>
      </c>
      <c r="F73" s="241">
        <v>477.7</v>
      </c>
      <c r="G73" s="242" t="str">
        <f>IF(Tableau3453[[#This Row],[Date 
du paiement]]="",Tableau3453[[#This Row],[Montant
de la facture
CHF]],"")</f>
        <v/>
      </c>
      <c r="H73" s="243"/>
      <c r="I73" s="245">
        <v>45324</v>
      </c>
      <c r="J73" s="246">
        <v>45337</v>
      </c>
      <c r="K73" s="247" t="s">
        <v>58</v>
      </c>
      <c r="L73" s="248"/>
      <c r="M73" s="248">
        <f>IF(Tableau3453[[#This Row],[Date 
du paiement]]="",$D$4-Tableau3453[[#This Row],[Date
de la facture]],Tableau3453[[#This Row],[Date 
du paiement]]-Tableau3453[[#This Row],[Date
de la facture]])</f>
        <v>14</v>
      </c>
      <c r="N73" s="241" t="str">
        <f>IF(Tableau3453[[#This Row],[Date 
du paiement]]="",IF(Tableau3453[[#This Row],[Jours]]&lt;30,Tableau3453[[#This Row],[Montant
de la facture
CHF]],""),"")</f>
        <v/>
      </c>
      <c r="O73" s="241" t="str">
        <f>IF(Tableau3453[[#This Row],[Date 
du paiement]]="",IF(Tableau3453[[#This Row],[Jours]]&gt;30,IF(Tableau3453[[#This Row],[Jours]]&lt;60,Tableau3453[[#This Row],[Montant
de la facture
CHF]],""),""),"")</f>
        <v/>
      </c>
      <c r="P73" s="241" t="str">
        <f>IF(Tableau3453[[#This Row],[Date 
du paiement]]="",IF(Tableau3453[[#This Row],[Jours]]&gt;60,Tableau3453[[#This Row],[Montant
de la facture
CHF]],""),"")</f>
        <v/>
      </c>
      <c r="Q73" s="249"/>
      <c r="R73" s="250" t="str">
        <f>Tableau3453[[#This Row],[Solde 
ouverte
fm]]</f>
        <v/>
      </c>
      <c r="S7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4" spans="1:19" hidden="1" outlineLevel="1" x14ac:dyDescent="0.25">
      <c r="A74" s="238">
        <v>240086</v>
      </c>
      <c r="B74" s="239" t="s">
        <v>860</v>
      </c>
      <c r="C74" s="352" t="str">
        <f>IF(Tableau3453[[#This Row],[Date 
du paiement]]="",IF(Tableau3453[[#This Row],[Jours]]&gt;Tableau3453[[#This Row],[Conditions
pmt+]]+5,"oui",""),"")</f>
        <v/>
      </c>
      <c r="D74" s="238" t="s">
        <v>880</v>
      </c>
      <c r="E74" s="240">
        <v>45324</v>
      </c>
      <c r="F74" s="241">
        <v>446.05</v>
      </c>
      <c r="G74" s="242" t="str">
        <f>IF(Tableau3453[[#This Row],[Date 
du paiement]]="",Tableau3453[[#This Row],[Montant
de la facture
CHF]],"")</f>
        <v/>
      </c>
      <c r="H74" s="243"/>
      <c r="I74" s="245">
        <v>45324</v>
      </c>
      <c r="J74" s="246">
        <v>45349</v>
      </c>
      <c r="K74" s="247" t="s">
        <v>58</v>
      </c>
      <c r="L74" s="248"/>
      <c r="M74" s="248">
        <f>IF(Tableau3453[[#This Row],[Date 
du paiement]]="",$D$4-Tableau3453[[#This Row],[Date
de la facture]],Tableau3453[[#This Row],[Date 
du paiement]]-Tableau3453[[#This Row],[Date
de la facture]])</f>
        <v>25</v>
      </c>
      <c r="N74" s="241" t="str">
        <f>IF(Tableau3453[[#This Row],[Date 
du paiement]]="",IF(Tableau3453[[#This Row],[Jours]]&lt;30,Tableau3453[[#This Row],[Montant
de la facture
CHF]],""),"")</f>
        <v/>
      </c>
      <c r="O74" s="241" t="str">
        <f>IF(Tableau3453[[#This Row],[Date 
du paiement]]="",IF(Tableau3453[[#This Row],[Jours]]&gt;30,IF(Tableau3453[[#This Row],[Jours]]&lt;60,Tableau3453[[#This Row],[Montant
de la facture
CHF]],""),""),"")</f>
        <v/>
      </c>
      <c r="P74" s="241" t="str">
        <f>IF(Tableau3453[[#This Row],[Date 
du paiement]]="",IF(Tableau3453[[#This Row],[Jours]]&gt;60,Tableau3453[[#This Row],[Montant
de la facture
CHF]],""),"")</f>
        <v/>
      </c>
      <c r="Q74" s="249"/>
      <c r="R74" s="250" t="str">
        <f>Tableau3453[[#This Row],[Solde 
ouverte
fm]]</f>
        <v/>
      </c>
      <c r="S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5" spans="1:19" hidden="1" outlineLevel="1" x14ac:dyDescent="0.25">
      <c r="A75" s="238">
        <v>240105</v>
      </c>
      <c r="B75" s="239" t="s">
        <v>860</v>
      </c>
      <c r="C75" s="352" t="str">
        <f>IF(Tableau3453[[#This Row],[Date 
du paiement]]="",IF(Tableau3453[[#This Row],[Jours]]&gt;Tableau3453[[#This Row],[Conditions
pmt+]]+5,"oui",""),"")</f>
        <v/>
      </c>
      <c r="D75" s="238" t="s">
        <v>909</v>
      </c>
      <c r="E75" s="240">
        <v>45324</v>
      </c>
      <c r="F75" s="241">
        <v>21530.35</v>
      </c>
      <c r="G75" s="242" t="str">
        <f>IF(Tableau3453[[#This Row],[Date 
du paiement]]="",Tableau3453[[#This Row],[Montant
de la facture
CHF]],"")</f>
        <v/>
      </c>
      <c r="H75" s="243"/>
      <c r="I75" s="245">
        <v>45327</v>
      </c>
      <c r="J75" s="246">
        <v>45336</v>
      </c>
      <c r="K75" s="247" t="s">
        <v>58</v>
      </c>
      <c r="L75" s="248"/>
      <c r="M75" s="248">
        <f>IF(Tableau3453[[#This Row],[Date 
du paiement]]="",$D$4-Tableau3453[[#This Row],[Date
de la facture]],Tableau3453[[#This Row],[Date 
du paiement]]-Tableau3453[[#This Row],[Date
de la facture]])</f>
        <v>12</v>
      </c>
      <c r="N75" s="241" t="str">
        <f>IF(Tableau3453[[#This Row],[Date 
du paiement]]="",IF(Tableau3453[[#This Row],[Jours]]&lt;30,Tableau3453[[#This Row],[Montant
de la facture
CHF]],""),"")</f>
        <v/>
      </c>
      <c r="O75" s="241" t="str">
        <f>IF(Tableau3453[[#This Row],[Date 
du paiement]]="",IF(Tableau3453[[#This Row],[Jours]]&gt;30,IF(Tableau3453[[#This Row],[Jours]]&lt;60,Tableau3453[[#This Row],[Montant
de la facture
CHF]],""),""),"")</f>
        <v/>
      </c>
      <c r="P75" s="241" t="str">
        <f>IF(Tableau3453[[#This Row],[Date 
du paiement]]="",IF(Tableau3453[[#This Row],[Jours]]&gt;60,Tableau3453[[#This Row],[Montant
de la facture
CHF]],""),"")</f>
        <v/>
      </c>
      <c r="Q75" s="249"/>
      <c r="R75" s="250" t="str">
        <f>Tableau3453[[#This Row],[Solde 
ouverte
fm]]</f>
        <v/>
      </c>
      <c r="S7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6" spans="1:19" hidden="1" outlineLevel="1" x14ac:dyDescent="0.25">
      <c r="A76" s="238">
        <v>240106</v>
      </c>
      <c r="B76" s="239" t="s">
        <v>860</v>
      </c>
      <c r="C76" s="352" t="str">
        <f>IF(Tableau3453[[#This Row],[Date 
du paiement]]="",IF(Tableau3453[[#This Row],[Jours]]&gt;Tableau3453[[#This Row],[Conditions
pmt+]]+5,"oui",""),"")</f>
        <v/>
      </c>
      <c r="D76" s="238" t="s">
        <v>909</v>
      </c>
      <c r="E76" s="240">
        <v>45324</v>
      </c>
      <c r="F76" s="241">
        <v>22037.45</v>
      </c>
      <c r="G76" s="242" t="str">
        <f>IF(Tableau3453[[#This Row],[Date 
du paiement]]="",Tableau3453[[#This Row],[Montant
de la facture
CHF]],"")</f>
        <v/>
      </c>
      <c r="H76" s="243"/>
      <c r="I76" s="245">
        <v>45327</v>
      </c>
      <c r="J76" s="246">
        <v>45336</v>
      </c>
      <c r="K76" s="247" t="s">
        <v>58</v>
      </c>
      <c r="L76" s="248"/>
      <c r="M76" s="248">
        <f>IF(Tableau3453[[#This Row],[Date 
du paiement]]="",$D$4-Tableau3453[[#This Row],[Date
de la facture]],Tableau3453[[#This Row],[Date 
du paiement]]-Tableau3453[[#This Row],[Date
de la facture]])</f>
        <v>12</v>
      </c>
      <c r="N76" s="241" t="str">
        <f>IF(Tableau3453[[#This Row],[Date 
du paiement]]="",IF(Tableau3453[[#This Row],[Jours]]&lt;30,Tableau3453[[#This Row],[Montant
de la facture
CHF]],""),"")</f>
        <v/>
      </c>
      <c r="O76" s="241" t="str">
        <f>IF(Tableau3453[[#This Row],[Date 
du paiement]]="",IF(Tableau3453[[#This Row],[Jours]]&gt;30,IF(Tableau3453[[#This Row],[Jours]]&lt;60,Tableau3453[[#This Row],[Montant
de la facture
CHF]],""),""),"")</f>
        <v/>
      </c>
      <c r="P76" s="241" t="str">
        <f>IF(Tableau3453[[#This Row],[Date 
du paiement]]="",IF(Tableau3453[[#This Row],[Jours]]&gt;60,Tableau3453[[#This Row],[Montant
de la facture
CHF]],""),"")</f>
        <v/>
      </c>
      <c r="Q76" s="249"/>
      <c r="R76" s="250" t="str">
        <f>Tableau3453[[#This Row],[Solde 
ouverte
fm]]</f>
        <v/>
      </c>
      <c r="S7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7" spans="1:19" hidden="1" outlineLevel="1" x14ac:dyDescent="0.25">
      <c r="A77" s="238">
        <v>240107</v>
      </c>
      <c r="B77" s="239" t="s">
        <v>860</v>
      </c>
      <c r="C77" s="352" t="str">
        <f>IF(Tableau3453[[#This Row],[Date 
du paiement]]="",IF(Tableau3453[[#This Row],[Jours]]&gt;Tableau3453[[#This Row],[Conditions
pmt+]]+5,"oui",""),"")</f>
        <v/>
      </c>
      <c r="D77" s="238" t="s">
        <v>909</v>
      </c>
      <c r="E77" s="240">
        <v>45324</v>
      </c>
      <c r="F77" s="241">
        <v>8299.6</v>
      </c>
      <c r="G77" s="242" t="str">
        <f>IF(Tableau3453[[#This Row],[Date 
du paiement]]="",Tableau3453[[#This Row],[Montant
de la facture
CHF]],"")</f>
        <v/>
      </c>
      <c r="H77" s="243"/>
      <c r="I77" s="245">
        <v>45327</v>
      </c>
      <c r="J77" s="246">
        <v>45336</v>
      </c>
      <c r="K77" s="247" t="s">
        <v>58</v>
      </c>
      <c r="L77" s="248"/>
      <c r="M77" s="248">
        <f>IF(Tableau3453[[#This Row],[Date 
du paiement]]="",$D$4-Tableau3453[[#This Row],[Date
de la facture]],Tableau3453[[#This Row],[Date 
du paiement]]-Tableau3453[[#This Row],[Date
de la facture]])</f>
        <v>12</v>
      </c>
      <c r="N77" s="241" t="str">
        <f>IF(Tableau3453[[#This Row],[Date 
du paiement]]="",IF(Tableau3453[[#This Row],[Jours]]&lt;30,Tableau3453[[#This Row],[Montant
de la facture
CHF]],""),"")</f>
        <v/>
      </c>
      <c r="O77" s="241" t="str">
        <f>IF(Tableau3453[[#This Row],[Date 
du paiement]]="",IF(Tableau3453[[#This Row],[Jours]]&gt;30,IF(Tableau3453[[#This Row],[Jours]]&lt;60,Tableau3453[[#This Row],[Montant
de la facture
CHF]],""),""),"")</f>
        <v/>
      </c>
      <c r="P77" s="241" t="str">
        <f>IF(Tableau3453[[#This Row],[Date 
du paiement]]="",IF(Tableau3453[[#This Row],[Jours]]&gt;60,Tableau3453[[#This Row],[Montant
de la facture
CHF]],""),"")</f>
        <v/>
      </c>
      <c r="Q77" s="249"/>
      <c r="R77" s="250" t="str">
        <f>Tableau3453[[#This Row],[Solde 
ouverte
fm]]</f>
        <v/>
      </c>
      <c r="S7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8" spans="1:19" hidden="1" outlineLevel="1" x14ac:dyDescent="0.25">
      <c r="A78" s="238">
        <v>240108</v>
      </c>
      <c r="B78" s="239" t="s">
        <v>860</v>
      </c>
      <c r="C78" s="352" t="str">
        <f>IF(Tableau3453[[#This Row],[Date 
du paiement]]="",IF(Tableau3453[[#This Row],[Jours]]&gt;Tableau3453[[#This Row],[Conditions
pmt+]]+5,"oui",""),"")</f>
        <v/>
      </c>
      <c r="D78" s="238" t="s">
        <v>909</v>
      </c>
      <c r="E78" s="240">
        <v>45324</v>
      </c>
      <c r="F78" s="241">
        <v>16044.2</v>
      </c>
      <c r="G78" s="242" t="str">
        <f>IF(Tableau3453[[#This Row],[Date 
du paiement]]="",Tableau3453[[#This Row],[Montant
de la facture
CHF]],"")</f>
        <v/>
      </c>
      <c r="H78" s="243"/>
      <c r="I78" s="245">
        <v>45327</v>
      </c>
      <c r="J78" s="246">
        <v>45336</v>
      </c>
      <c r="K78" s="247" t="s">
        <v>58</v>
      </c>
      <c r="L78" s="248"/>
      <c r="M78" s="248">
        <f>IF(Tableau3453[[#This Row],[Date 
du paiement]]="",$D$4-Tableau3453[[#This Row],[Date
de la facture]],Tableau3453[[#This Row],[Date 
du paiement]]-Tableau3453[[#This Row],[Date
de la facture]])</f>
        <v>12</v>
      </c>
      <c r="N78" s="241" t="str">
        <f>IF(Tableau3453[[#This Row],[Date 
du paiement]]="",IF(Tableau3453[[#This Row],[Jours]]&lt;30,Tableau3453[[#This Row],[Montant
de la facture
CHF]],""),"")</f>
        <v/>
      </c>
      <c r="O78" s="241" t="str">
        <f>IF(Tableau3453[[#This Row],[Date 
du paiement]]="",IF(Tableau3453[[#This Row],[Jours]]&gt;30,IF(Tableau3453[[#This Row],[Jours]]&lt;60,Tableau3453[[#This Row],[Montant
de la facture
CHF]],""),""),"")</f>
        <v/>
      </c>
      <c r="P78" s="241" t="str">
        <f>IF(Tableau3453[[#This Row],[Date 
du paiement]]="",IF(Tableau3453[[#This Row],[Jours]]&gt;60,Tableau3453[[#This Row],[Montant
de la facture
CHF]],""),"")</f>
        <v/>
      </c>
      <c r="Q78" s="249"/>
      <c r="R78" s="250" t="str">
        <f>Tableau3453[[#This Row],[Solde 
ouverte
fm]]</f>
        <v/>
      </c>
      <c r="S7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9" spans="1:19" hidden="1" outlineLevel="1" x14ac:dyDescent="0.25">
      <c r="A79" s="238">
        <v>240085</v>
      </c>
      <c r="B79" s="239" t="s">
        <v>860</v>
      </c>
      <c r="C79" s="352" t="str">
        <f>IF(Tableau3453[[#This Row],[Date 
du paiement]]="",IF(Tableau3453[[#This Row],[Jours]]&gt;Tableau3453[[#This Row],[Conditions
pmt+]]+5,"oui",""),"")</f>
        <v/>
      </c>
      <c r="D79" s="251" t="s">
        <v>885</v>
      </c>
      <c r="E79" s="240">
        <v>45324</v>
      </c>
      <c r="F79" s="241">
        <v>754.25</v>
      </c>
      <c r="G79" s="242" t="str">
        <f>IF(Tableau3453[[#This Row],[Date 
du paiement]]="",Tableau3453[[#This Row],[Montant
de la facture
CHF]],"")</f>
        <v/>
      </c>
      <c r="H79" s="243"/>
      <c r="I79" s="245">
        <v>45324</v>
      </c>
      <c r="J79" s="246">
        <v>45330</v>
      </c>
      <c r="K79" s="247" t="s">
        <v>58</v>
      </c>
      <c r="L79" s="248"/>
      <c r="M79" s="248">
        <f>IF(Tableau3453[[#This Row],[Date 
du paiement]]="",$D$4-Tableau3453[[#This Row],[Date
de la facture]],Tableau3453[[#This Row],[Date 
du paiement]]-Tableau3453[[#This Row],[Date
de la facture]])</f>
        <v>6</v>
      </c>
      <c r="N79" s="241" t="str">
        <f>IF(Tableau3453[[#This Row],[Date 
du paiement]]="",IF(Tableau3453[[#This Row],[Jours]]&lt;30,Tableau3453[[#This Row],[Montant
de la facture
CHF]],""),"")</f>
        <v/>
      </c>
      <c r="O79" s="241" t="str">
        <f>IF(Tableau3453[[#This Row],[Date 
du paiement]]="",IF(Tableau3453[[#This Row],[Jours]]&gt;30,IF(Tableau3453[[#This Row],[Jours]]&lt;60,Tableau3453[[#This Row],[Montant
de la facture
CHF]],""),""),"")</f>
        <v/>
      </c>
      <c r="P79" s="241" t="str">
        <f>IF(Tableau3453[[#This Row],[Date 
du paiement]]="",IF(Tableau3453[[#This Row],[Jours]]&gt;60,Tableau3453[[#This Row],[Montant
de la facture
CHF]],""),"")</f>
        <v/>
      </c>
      <c r="Q79" s="249"/>
      <c r="R79" s="250" t="str">
        <f>Tableau3453[[#This Row],[Solde 
ouverte
fm]]</f>
        <v/>
      </c>
      <c r="S7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0" spans="1:19" hidden="1" outlineLevel="1" x14ac:dyDescent="0.25">
      <c r="A80" s="238">
        <v>240075</v>
      </c>
      <c r="B80" s="239" t="s">
        <v>860</v>
      </c>
      <c r="C80" s="352" t="str">
        <f>IF(Tableau3453[[#This Row],[Date 
du paiement]]="",IF(Tableau3453[[#This Row],[Jours]]&gt;Tableau3453[[#This Row],[Conditions
pmt+]]+5,"oui",""),"")</f>
        <v/>
      </c>
      <c r="D80" s="238" t="s">
        <v>909</v>
      </c>
      <c r="E80" s="240">
        <v>45328</v>
      </c>
      <c r="F80" s="241">
        <v>21530.2</v>
      </c>
      <c r="G80" s="242" t="str">
        <f>IF(Tableau3453[[#This Row],[Date 
du paiement]]="",Tableau3453[[#This Row],[Montant
de la facture
CHF]],"")</f>
        <v/>
      </c>
      <c r="H80" s="243"/>
      <c r="I80" s="245">
        <v>45338</v>
      </c>
      <c r="J80" s="246">
        <v>45387</v>
      </c>
      <c r="K80" s="247" t="s">
        <v>58</v>
      </c>
      <c r="L80" s="248"/>
      <c r="M80" s="248">
        <f>IF(Tableau3453[[#This Row],[Date 
du paiement]]="",$D$4-Tableau3453[[#This Row],[Date
de la facture]],Tableau3453[[#This Row],[Date 
du paiement]]-Tableau3453[[#This Row],[Date
de la facture]])</f>
        <v>59</v>
      </c>
      <c r="N80" s="241" t="str">
        <f>IF(Tableau3453[[#This Row],[Date 
du paiement]]="",IF(Tableau3453[[#This Row],[Jours]]&lt;30,Tableau3453[[#This Row],[Montant
de la facture
CHF]],""),"")</f>
        <v/>
      </c>
      <c r="O80" s="241" t="str">
        <f>IF(Tableau3453[[#This Row],[Date 
du paiement]]="",IF(Tableau3453[[#This Row],[Jours]]&gt;30,IF(Tableau3453[[#This Row],[Jours]]&lt;60,Tableau3453[[#This Row],[Montant
de la facture
CHF]],""),""),"")</f>
        <v/>
      </c>
      <c r="P80" s="241" t="str">
        <f>IF(Tableau3453[[#This Row],[Date 
du paiement]]="",IF(Tableau3453[[#This Row],[Jours]]&gt;60,Tableau3453[[#This Row],[Montant
de la facture
CHF]],""),"")</f>
        <v/>
      </c>
      <c r="Q80" s="249"/>
      <c r="R80" s="250" t="str">
        <f>Tableau3453[[#This Row],[Solde 
ouverte
fm]]</f>
        <v/>
      </c>
      <c r="S8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1" spans="1:19" hidden="1" outlineLevel="1" x14ac:dyDescent="0.25">
      <c r="A81" s="238">
        <v>240111</v>
      </c>
      <c r="B81" s="239" t="s">
        <v>860</v>
      </c>
      <c r="C81" s="352" t="str">
        <f>IF(Tableau3453[[#This Row],[Date 
du paiement]]="",IF(Tableau3453[[#This Row],[Jours]]&gt;Tableau3453[[#This Row],[Conditions
pmt+]]+5,"oui",""),"")</f>
        <v/>
      </c>
      <c r="D81" s="238" t="s">
        <v>910</v>
      </c>
      <c r="E81" s="240">
        <v>45329</v>
      </c>
      <c r="F81" s="241">
        <v>574.4</v>
      </c>
      <c r="G81" s="242" t="str">
        <f>IF(Tableau3453[[#This Row],[Date 
du paiement]]="",Tableau3453[[#This Row],[Montant
de la facture
CHF]],"")</f>
        <v/>
      </c>
      <c r="H81" s="243"/>
      <c r="I81" s="245">
        <v>45331</v>
      </c>
      <c r="J81" s="246">
        <v>45362</v>
      </c>
      <c r="K81" s="247" t="s">
        <v>58</v>
      </c>
      <c r="L81" s="248"/>
      <c r="M81" s="248">
        <f>IF(Tableau3453[[#This Row],[Date 
du paiement]]="",$D$4-Tableau3453[[#This Row],[Date
de la facture]],Tableau3453[[#This Row],[Date 
du paiement]]-Tableau3453[[#This Row],[Date
de la facture]])</f>
        <v>33</v>
      </c>
      <c r="N81" s="241" t="str">
        <f>IF(Tableau3453[[#This Row],[Date 
du paiement]]="",IF(Tableau3453[[#This Row],[Jours]]&lt;30,Tableau3453[[#This Row],[Montant
de la facture
CHF]],""),"")</f>
        <v/>
      </c>
      <c r="O81" s="241" t="str">
        <f>IF(Tableau3453[[#This Row],[Date 
du paiement]]="",IF(Tableau3453[[#This Row],[Jours]]&gt;30,IF(Tableau3453[[#This Row],[Jours]]&lt;60,Tableau3453[[#This Row],[Montant
de la facture
CHF]],""),""),"")</f>
        <v/>
      </c>
      <c r="P81" s="241" t="str">
        <f>IF(Tableau3453[[#This Row],[Date 
du paiement]]="",IF(Tableau3453[[#This Row],[Jours]]&gt;60,Tableau3453[[#This Row],[Montant
de la facture
CHF]],""),"")</f>
        <v/>
      </c>
      <c r="Q81" s="249"/>
      <c r="R81" s="250" t="str">
        <f>Tableau3453[[#This Row],[Solde 
ouverte
fm]]</f>
        <v/>
      </c>
      <c r="S8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2" spans="1:19" hidden="1" outlineLevel="1" x14ac:dyDescent="0.25">
      <c r="A82" s="238">
        <v>240013</v>
      </c>
      <c r="B82" s="239" t="s">
        <v>860</v>
      </c>
      <c r="C82" s="352" t="str">
        <f>IF(Tableau3453[[#This Row],[Date 
du paiement]]="",IF(Tableau3453[[#This Row],[Jours]]&gt;Tableau3453[[#This Row],[Conditions
pmt+]]+5,"oui",""),"")</f>
        <v/>
      </c>
      <c r="D82" s="238" t="s">
        <v>881</v>
      </c>
      <c r="E82" s="240">
        <v>45329</v>
      </c>
      <c r="F82" s="241">
        <v>830.2</v>
      </c>
      <c r="G82" s="242" t="str">
        <f>IF(Tableau3453[[#This Row],[Date 
du paiement]]="",Tableau3453[[#This Row],[Montant
de la facture
CHF]],"")</f>
        <v/>
      </c>
      <c r="H82" s="243" t="s">
        <v>882</v>
      </c>
      <c r="I82" s="245">
        <v>45363</v>
      </c>
      <c r="J82" s="246">
        <v>45294</v>
      </c>
      <c r="K82" s="247" t="s">
        <v>58</v>
      </c>
      <c r="L82" s="248"/>
      <c r="M82" s="248">
        <f>IF(Tableau3453[[#This Row],[Date 
du paiement]]="",$D$4-Tableau3453[[#This Row],[Date
de la facture]],Tableau3453[[#This Row],[Date 
du paiement]]-Tableau3453[[#This Row],[Date
de la facture]])</f>
        <v>-35</v>
      </c>
      <c r="N82" s="241" t="str">
        <f>IF(Tableau3453[[#This Row],[Date 
du paiement]]="",IF(Tableau3453[[#This Row],[Jours]]&lt;30,Tableau3453[[#This Row],[Montant
de la facture
CHF]],""),"")</f>
        <v/>
      </c>
      <c r="O82" s="241" t="str">
        <f>IF(Tableau3453[[#This Row],[Date 
du paiement]]="",IF(Tableau3453[[#This Row],[Jours]]&gt;30,IF(Tableau3453[[#This Row],[Jours]]&lt;60,Tableau3453[[#This Row],[Montant
de la facture
CHF]],""),""),"")</f>
        <v/>
      </c>
      <c r="P82" s="241" t="str">
        <f>IF(Tableau3453[[#This Row],[Date 
du paiement]]="",IF(Tableau3453[[#This Row],[Jours]]&gt;60,Tableau3453[[#This Row],[Montant
de la facture
CHF]],""),"")</f>
        <v/>
      </c>
      <c r="Q82" s="249"/>
      <c r="R82" s="267" t="str">
        <f>Tableau3453[[#This Row],[Solde 
ouverte
fm]]</f>
        <v/>
      </c>
      <c r="S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3" spans="1:19" hidden="1" outlineLevel="1" x14ac:dyDescent="0.25">
      <c r="A83" s="238">
        <v>240013</v>
      </c>
      <c r="B83" s="239" t="s">
        <v>860</v>
      </c>
      <c r="C83" s="352" t="str">
        <f>IF(Tableau3453[[#This Row],[Date 
du paiement]]="",IF(Tableau3453[[#This Row],[Jours]]&gt;Tableau3453[[#This Row],[Conditions
pmt+]]+5,"oui",""),"")</f>
        <v/>
      </c>
      <c r="D83" s="238" t="s">
        <v>881</v>
      </c>
      <c r="E83" s="240">
        <v>45329</v>
      </c>
      <c r="F83" s="241">
        <v>830.2</v>
      </c>
      <c r="G83" s="242" t="str">
        <f>IF(Tableau3453[[#This Row],[Date 
du paiement]]="",Tableau3453[[#This Row],[Montant
de la facture
CHF]],"")</f>
        <v/>
      </c>
      <c r="H83" s="243"/>
      <c r="I83" s="245">
        <v>45363</v>
      </c>
      <c r="J83" s="246">
        <v>45294</v>
      </c>
      <c r="K83" s="247" t="s">
        <v>58</v>
      </c>
      <c r="L83" s="248"/>
      <c r="M83" s="248">
        <f>IF(Tableau3453[[#This Row],[Date 
du paiement]]="",$D$4-Tableau3453[[#This Row],[Date
de la facture]],Tableau3453[[#This Row],[Date 
du paiement]]-Tableau3453[[#This Row],[Date
de la facture]])</f>
        <v>-35</v>
      </c>
      <c r="N83" s="241" t="str">
        <f>IF(Tableau3453[[#This Row],[Date 
du paiement]]="",IF(Tableau3453[[#This Row],[Jours]]&lt;30,Tableau3453[[#This Row],[Montant
de la facture
CHF]],""),"")</f>
        <v/>
      </c>
      <c r="O83" s="241" t="str">
        <f>IF(Tableau3453[[#This Row],[Date 
du paiement]]="",IF(Tableau3453[[#This Row],[Jours]]&gt;30,IF(Tableau3453[[#This Row],[Jours]]&lt;60,Tableau3453[[#This Row],[Montant
de la facture
CHF]],""),""),"")</f>
        <v/>
      </c>
      <c r="P83" s="241" t="str">
        <f>IF(Tableau3453[[#This Row],[Date 
du paiement]]="",IF(Tableau3453[[#This Row],[Jours]]&gt;60,Tableau3453[[#This Row],[Montant
de la facture
CHF]],""),"")</f>
        <v/>
      </c>
      <c r="Q83" s="249"/>
      <c r="R83" s="267" t="str">
        <f>Tableau3453[[#This Row],[Solde 
ouverte
fm]]</f>
        <v/>
      </c>
      <c r="S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4" spans="1:19" hidden="1" outlineLevel="1" x14ac:dyDescent="0.25">
      <c r="A84" s="238">
        <v>240120</v>
      </c>
      <c r="B84" s="239" t="s">
        <v>860</v>
      </c>
      <c r="C84" s="352" t="str">
        <f>IF(Tableau3453[[#This Row],[Date 
du paiement]]="",IF(Tableau3453[[#This Row],[Jours]]&gt;Tableau3453[[#This Row],[Conditions
pmt+]]+5,"oui",""),"")</f>
        <v/>
      </c>
      <c r="D84" s="238" t="s">
        <v>899</v>
      </c>
      <c r="E84" s="240">
        <v>45330</v>
      </c>
      <c r="F84" s="241">
        <v>381.45</v>
      </c>
      <c r="G84" s="242" t="str">
        <f>IF(Tableau3453[[#This Row],[Date 
du paiement]]="",Tableau3453[[#This Row],[Montant
de la facture
CHF]],"")</f>
        <v/>
      </c>
      <c r="H84" s="243"/>
      <c r="I84" s="245">
        <v>45331</v>
      </c>
      <c r="J84" s="246">
        <v>45366</v>
      </c>
      <c r="K84" s="247" t="s">
        <v>58</v>
      </c>
      <c r="L84" s="248"/>
      <c r="M84" s="248">
        <f>IF(Tableau3453[[#This Row],[Date 
du paiement]]="",$D$4-Tableau3453[[#This Row],[Date
de la facture]],Tableau3453[[#This Row],[Date 
du paiement]]-Tableau3453[[#This Row],[Date
de la facture]])</f>
        <v>36</v>
      </c>
      <c r="N84" s="241" t="str">
        <f>IF(Tableau3453[[#This Row],[Date 
du paiement]]="",IF(Tableau3453[[#This Row],[Jours]]&lt;30,Tableau3453[[#This Row],[Montant
de la facture
CHF]],""),"")</f>
        <v/>
      </c>
      <c r="O84" s="241" t="str">
        <f>IF(Tableau3453[[#This Row],[Date 
du paiement]]="",IF(Tableau3453[[#This Row],[Jours]]&gt;30,IF(Tableau3453[[#This Row],[Jours]]&lt;60,Tableau3453[[#This Row],[Montant
de la facture
CHF]],""),""),"")</f>
        <v/>
      </c>
      <c r="P84" s="241" t="str">
        <f>IF(Tableau3453[[#This Row],[Date 
du paiement]]="",IF(Tableau3453[[#This Row],[Jours]]&gt;60,Tableau3453[[#This Row],[Montant
de la facture
CHF]],""),"")</f>
        <v/>
      </c>
      <c r="Q84" s="249"/>
      <c r="R84" s="250" t="str">
        <f>Tableau3453[[#This Row],[Solde 
ouverte
fm]]</f>
        <v/>
      </c>
      <c r="S8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5" spans="1:19" hidden="1" outlineLevel="1" x14ac:dyDescent="0.25">
      <c r="A85" s="238">
        <v>240101</v>
      </c>
      <c r="B85" s="239" t="s">
        <v>860</v>
      </c>
      <c r="C85" s="352" t="str">
        <f>IF(Tableau3453[[#This Row],[Date 
du paiement]]="",IF(Tableau3453[[#This Row],[Jours]]&gt;Tableau3453[[#This Row],[Conditions
pmt+]]+5,"oui",""),"")</f>
        <v/>
      </c>
      <c r="D85" s="238" t="s">
        <v>899</v>
      </c>
      <c r="E85" s="240">
        <v>45330</v>
      </c>
      <c r="F85" s="241">
        <v>2610.65</v>
      </c>
      <c r="G85" s="242" t="str">
        <f>IF(Tableau3453[[#This Row],[Date 
du paiement]]="",Tableau3453[[#This Row],[Montant
de la facture
CHF]],"")</f>
        <v/>
      </c>
      <c r="H85" s="243"/>
      <c r="I85" s="245">
        <v>45331</v>
      </c>
      <c r="J85" s="246">
        <v>45366</v>
      </c>
      <c r="K85" s="247" t="s">
        <v>58</v>
      </c>
      <c r="L85" s="248"/>
      <c r="M85" s="248">
        <f>IF(Tableau3453[[#This Row],[Date 
du paiement]]="",$D$4-Tableau3453[[#This Row],[Date
de la facture]],Tableau3453[[#This Row],[Date 
du paiement]]-Tableau3453[[#This Row],[Date
de la facture]])</f>
        <v>36</v>
      </c>
      <c r="N85" s="241" t="str">
        <f>IF(Tableau3453[[#This Row],[Date 
du paiement]]="",IF(Tableau3453[[#This Row],[Jours]]&lt;30,Tableau3453[[#This Row],[Montant
de la facture
CHF]],""),"")</f>
        <v/>
      </c>
      <c r="O85" s="241" t="str">
        <f>IF(Tableau3453[[#This Row],[Date 
du paiement]]="",IF(Tableau3453[[#This Row],[Jours]]&gt;30,IF(Tableau3453[[#This Row],[Jours]]&lt;60,Tableau3453[[#This Row],[Montant
de la facture
CHF]],""),""),"")</f>
        <v/>
      </c>
      <c r="P85" s="241" t="str">
        <f>IF(Tableau3453[[#This Row],[Date 
du paiement]]="",IF(Tableau3453[[#This Row],[Jours]]&gt;60,Tableau3453[[#This Row],[Montant
de la facture
CHF]],""),"")</f>
        <v/>
      </c>
      <c r="Q85" s="249"/>
      <c r="R85" s="250" t="str">
        <f>Tableau3453[[#This Row],[Solde 
ouverte
fm]]</f>
        <v/>
      </c>
      <c r="S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6" spans="1:19" hidden="1" outlineLevel="1" x14ac:dyDescent="0.25">
      <c r="A86" s="238">
        <v>240123</v>
      </c>
      <c r="B86" s="239" t="s">
        <v>860</v>
      </c>
      <c r="C86" s="352" t="str">
        <f>IF(Tableau3453[[#This Row],[Date 
du paiement]]="",IF(Tableau3453[[#This Row],[Jours]]&gt;Tableau3453[[#This Row],[Conditions
pmt+]]+5,"oui",""),"")</f>
        <v/>
      </c>
      <c r="D86" s="238" t="s">
        <v>899</v>
      </c>
      <c r="E86" s="240">
        <v>45330</v>
      </c>
      <c r="F86" s="241">
        <v>3118.8</v>
      </c>
      <c r="G86" s="242" t="str">
        <f>IF(Tableau3453[[#This Row],[Date 
du paiement]]="",Tableau3453[[#This Row],[Montant
de la facture
CHF]],"")</f>
        <v/>
      </c>
      <c r="H86" s="243"/>
      <c r="I86" s="245">
        <v>45331</v>
      </c>
      <c r="J86" s="246">
        <v>45366</v>
      </c>
      <c r="K86" s="247" t="s">
        <v>58</v>
      </c>
      <c r="L86" s="248"/>
      <c r="M86" s="248">
        <f>IF(Tableau3453[[#This Row],[Date 
du paiement]]="",$D$4-Tableau3453[[#This Row],[Date
de la facture]],Tableau3453[[#This Row],[Date 
du paiement]]-Tableau3453[[#This Row],[Date
de la facture]])</f>
        <v>36</v>
      </c>
      <c r="N86" s="241" t="str">
        <f>IF(Tableau3453[[#This Row],[Date 
du paiement]]="",IF(Tableau3453[[#This Row],[Jours]]&lt;30,Tableau3453[[#This Row],[Montant
de la facture
CHF]],""),"")</f>
        <v/>
      </c>
      <c r="O86" s="241" t="str">
        <f>IF(Tableau3453[[#This Row],[Date 
du paiement]]="",IF(Tableau3453[[#This Row],[Jours]]&gt;30,IF(Tableau3453[[#This Row],[Jours]]&lt;60,Tableau3453[[#This Row],[Montant
de la facture
CHF]],""),""),"")</f>
        <v/>
      </c>
      <c r="P86" s="241" t="str">
        <f>IF(Tableau3453[[#This Row],[Date 
du paiement]]="",IF(Tableau3453[[#This Row],[Jours]]&gt;60,Tableau3453[[#This Row],[Montant
de la facture
CHF]],""),"")</f>
        <v/>
      </c>
      <c r="Q86" s="249"/>
      <c r="R86" s="250" t="str">
        <f>Tableau3453[[#This Row],[Solde 
ouverte
fm]]</f>
        <v/>
      </c>
      <c r="S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7" spans="1:19" hidden="1" outlineLevel="1" x14ac:dyDescent="0.25">
      <c r="A87" s="238">
        <v>240092</v>
      </c>
      <c r="B87" s="239" t="s">
        <v>860</v>
      </c>
      <c r="C87" s="352" t="str">
        <f>IF(Tableau3453[[#This Row],[Date 
du paiement]]="",IF(Tableau3453[[#This Row],[Jours]]&gt;Tableau3453[[#This Row],[Conditions
pmt+]]+5,"oui",""),"")</f>
        <v/>
      </c>
      <c r="D87" s="238" t="s">
        <v>880</v>
      </c>
      <c r="E87" s="240">
        <v>45330</v>
      </c>
      <c r="F87" s="241">
        <v>2525.3000000000002</v>
      </c>
      <c r="G87" s="242" t="str">
        <f>IF(Tableau3453[[#This Row],[Date 
du paiement]]="",Tableau3453[[#This Row],[Montant
de la facture
CHF]],"")</f>
        <v/>
      </c>
      <c r="H87" s="243"/>
      <c r="I87" s="245">
        <v>45331</v>
      </c>
      <c r="J87" s="246">
        <v>45356</v>
      </c>
      <c r="K87" s="247" t="s">
        <v>58</v>
      </c>
      <c r="L87" s="248"/>
      <c r="M87" s="248">
        <f>IF(Tableau3453[[#This Row],[Date 
du paiement]]="",$D$4-Tableau3453[[#This Row],[Date
de la facture]],Tableau3453[[#This Row],[Date 
du paiement]]-Tableau3453[[#This Row],[Date
de la facture]])</f>
        <v>26</v>
      </c>
      <c r="N87" s="241" t="str">
        <f>IF(Tableau3453[[#This Row],[Date 
du paiement]]="",IF(Tableau3453[[#This Row],[Jours]]&lt;30,Tableau3453[[#This Row],[Montant
de la facture
CHF]],""),"")</f>
        <v/>
      </c>
      <c r="O87" s="241" t="str">
        <f>IF(Tableau3453[[#This Row],[Date 
du paiement]]="",IF(Tableau3453[[#This Row],[Jours]]&gt;30,IF(Tableau3453[[#This Row],[Jours]]&lt;60,Tableau3453[[#This Row],[Montant
de la facture
CHF]],""),""),"")</f>
        <v/>
      </c>
      <c r="P87" s="241" t="str">
        <f>IF(Tableau3453[[#This Row],[Date 
du paiement]]="",IF(Tableau3453[[#This Row],[Jours]]&gt;60,Tableau3453[[#This Row],[Montant
de la facture
CHF]],""),"")</f>
        <v/>
      </c>
      <c r="Q87" s="249"/>
      <c r="R87" s="250" t="str">
        <f>Tableau3453[[#This Row],[Solde 
ouverte
fm]]</f>
        <v/>
      </c>
      <c r="S8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8" spans="1:19" hidden="1" outlineLevel="1" x14ac:dyDescent="0.25">
      <c r="A88" s="238">
        <v>240122</v>
      </c>
      <c r="B88" s="239" t="s">
        <v>860</v>
      </c>
      <c r="C88" s="352" t="str">
        <f>IF(Tableau3453[[#This Row],[Date 
du paiement]]="",IF(Tableau3453[[#This Row],[Jours]]&gt;Tableau3453[[#This Row],[Conditions
pmt+]]+5,"oui",""),"")</f>
        <v/>
      </c>
      <c r="D88" s="238" t="s">
        <v>911</v>
      </c>
      <c r="E88" s="240">
        <v>45331</v>
      </c>
      <c r="F88" s="241">
        <v>2985.1</v>
      </c>
      <c r="G88" s="242" t="str">
        <f>IF(Tableau3453[[#This Row],[Date 
du paiement]]="",Tableau3453[[#This Row],[Montant
de la facture
CHF]],"")</f>
        <v/>
      </c>
      <c r="H88" s="243" t="s">
        <v>912</v>
      </c>
      <c r="I88" s="245">
        <v>45331</v>
      </c>
      <c r="J88" s="246">
        <v>45436</v>
      </c>
      <c r="K88" s="247" t="s">
        <v>58</v>
      </c>
      <c r="L88" s="255">
        <v>3</v>
      </c>
      <c r="M88" s="248">
        <f>IF(Tableau3453[[#This Row],[Date 
du paiement]]="",$D$4-Tableau3453[[#This Row],[Date
de la facture]],Tableau3453[[#This Row],[Date 
du paiement]]-Tableau3453[[#This Row],[Date
de la facture]])</f>
        <v>105</v>
      </c>
      <c r="N88" s="241" t="str">
        <f>IF(Tableau3453[[#This Row],[Date 
du paiement]]="",IF(Tableau3453[[#This Row],[Jours]]&lt;30,Tableau3453[[#This Row],[Montant
de la facture
CHF]],""),"")</f>
        <v/>
      </c>
      <c r="O88" s="241" t="str">
        <f>IF(Tableau3453[[#This Row],[Date 
du paiement]]="",IF(Tableau3453[[#This Row],[Jours]]&gt;30,IF(Tableau3453[[#This Row],[Jours]]&lt;60,Tableau3453[[#This Row],[Montant
de la facture
CHF]],""),""),"")</f>
        <v/>
      </c>
      <c r="P88" s="241" t="str">
        <f>IF(Tableau3453[[#This Row],[Date 
du paiement]]="",IF(Tableau3453[[#This Row],[Jours]]&gt;60,Tableau3453[[#This Row],[Montant
de la facture
CHF]],""),"")</f>
        <v/>
      </c>
      <c r="Q88" s="249"/>
      <c r="R88" s="250" t="str">
        <f>Tableau3453[[#This Row],[Solde 
ouverte
fm]]</f>
        <v/>
      </c>
      <c r="S8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89" spans="1:19" hidden="1" outlineLevel="1" x14ac:dyDescent="0.25">
      <c r="A89" s="238">
        <v>230801</v>
      </c>
      <c r="B89" s="239" t="s">
        <v>860</v>
      </c>
      <c r="C89" s="352" t="str">
        <f>IF(Tableau3453[[#This Row],[Date 
du paiement]]="",IF(Tableau3453[[#This Row],[Jours]]&gt;Tableau3453[[#This Row],[Conditions
pmt+]]+5,"oui",""),"")</f>
        <v/>
      </c>
      <c r="D89" s="238" t="s">
        <v>901</v>
      </c>
      <c r="E89" s="240">
        <v>45331</v>
      </c>
      <c r="F89" s="241">
        <v>6974.95</v>
      </c>
      <c r="G89" s="242" t="str">
        <f>IF(Tableau3453[[#This Row],[Date 
du paiement]]="",Tableau3453[[#This Row],[Montant
de la facture
CHF]],"")</f>
        <v/>
      </c>
      <c r="H89" s="243" t="s">
        <v>913</v>
      </c>
      <c r="I89" s="245">
        <v>45338</v>
      </c>
      <c r="J89" s="246">
        <v>45357</v>
      </c>
      <c r="K89" s="247" t="s">
        <v>58</v>
      </c>
      <c r="L89" s="248"/>
      <c r="M89" s="248">
        <f>IF(Tableau3453[[#This Row],[Date 
du paiement]]="",$D$4-Tableau3453[[#This Row],[Date
de la facture]],Tableau3453[[#This Row],[Date 
du paiement]]-Tableau3453[[#This Row],[Date
de la facture]])</f>
        <v>26</v>
      </c>
      <c r="N89" s="241" t="str">
        <f>IF(Tableau3453[[#This Row],[Date 
du paiement]]="",IF(Tableau3453[[#This Row],[Jours]]&lt;30,Tableau3453[[#This Row],[Montant
de la facture
CHF]],""),"")</f>
        <v/>
      </c>
      <c r="O89" s="241" t="str">
        <f>IF(Tableau3453[[#This Row],[Date 
du paiement]]="",IF(Tableau3453[[#This Row],[Jours]]&gt;30,IF(Tableau3453[[#This Row],[Jours]]&lt;60,Tableau3453[[#This Row],[Montant
de la facture
CHF]],""),""),"")</f>
        <v/>
      </c>
      <c r="P89" s="241" t="str">
        <f>IF(Tableau3453[[#This Row],[Date 
du paiement]]="",IF(Tableau3453[[#This Row],[Jours]]&gt;60,Tableau3453[[#This Row],[Montant
de la facture
CHF]],""),"")</f>
        <v/>
      </c>
      <c r="Q89" s="249"/>
      <c r="R89" s="250" t="str">
        <f>Tableau3453[[#This Row],[Solde 
ouverte
fm]]</f>
        <v/>
      </c>
      <c r="S8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0" spans="1:19" hidden="1" outlineLevel="1" x14ac:dyDescent="0.25">
      <c r="A90" s="238">
        <v>240115</v>
      </c>
      <c r="B90" s="239" t="s">
        <v>860</v>
      </c>
      <c r="C90" s="352" t="str">
        <f>IF(Tableau3453[[#This Row],[Date 
du paiement]]="",IF(Tableau3453[[#This Row],[Jours]]&gt;Tableau3453[[#This Row],[Conditions
pmt+]]+5,"oui",""),"")</f>
        <v/>
      </c>
      <c r="D90" s="238" t="s">
        <v>899</v>
      </c>
      <c r="E90" s="240">
        <v>45334</v>
      </c>
      <c r="F90" s="241">
        <v>1712.95</v>
      </c>
      <c r="G90" s="242" t="str">
        <f>IF(Tableau3453[[#This Row],[Date 
du paiement]]="",Tableau3453[[#This Row],[Montant
de la facture
CHF]],"")</f>
        <v/>
      </c>
      <c r="H90" s="243"/>
      <c r="I90" s="245">
        <v>45338</v>
      </c>
      <c r="J90" s="246">
        <v>45379</v>
      </c>
      <c r="K90" s="247" t="s">
        <v>58</v>
      </c>
      <c r="L90" s="248"/>
      <c r="M90" s="248">
        <f>IF(Tableau3453[[#This Row],[Date 
du paiement]]="",$D$4-Tableau3453[[#This Row],[Date
de la facture]],Tableau3453[[#This Row],[Date 
du paiement]]-Tableau3453[[#This Row],[Date
de la facture]])</f>
        <v>45</v>
      </c>
      <c r="N90" s="241" t="str">
        <f>IF(Tableau3453[[#This Row],[Date 
du paiement]]="",IF(Tableau3453[[#This Row],[Jours]]&lt;30,Tableau3453[[#This Row],[Montant
de la facture
CHF]],""),"")</f>
        <v/>
      </c>
      <c r="O90" s="241" t="str">
        <f>IF(Tableau3453[[#This Row],[Date 
du paiement]]="",IF(Tableau3453[[#This Row],[Jours]]&gt;30,IF(Tableau3453[[#This Row],[Jours]]&lt;60,Tableau3453[[#This Row],[Montant
de la facture
CHF]],""),""),"")</f>
        <v/>
      </c>
      <c r="P90" s="241" t="str">
        <f>IF(Tableau3453[[#This Row],[Date 
du paiement]]="",IF(Tableau3453[[#This Row],[Jours]]&gt;60,Tableau3453[[#This Row],[Montant
de la facture
CHF]],""),"")</f>
        <v/>
      </c>
      <c r="Q90" s="249"/>
      <c r="R90" s="250" t="str">
        <f>Tableau3453[[#This Row],[Solde 
ouverte
fm]]</f>
        <v/>
      </c>
      <c r="S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1" spans="1:19" hidden="1" outlineLevel="1" x14ac:dyDescent="0.25">
      <c r="A91" s="238">
        <v>240134</v>
      </c>
      <c r="B91" s="239" t="s">
        <v>860</v>
      </c>
      <c r="C91" s="352" t="str">
        <f>IF(Tableau3453[[#This Row],[Date 
du paiement]]="",IF(Tableau3453[[#This Row],[Jours]]&gt;Tableau3453[[#This Row],[Conditions
pmt+]]+5,"oui",""),"")</f>
        <v/>
      </c>
      <c r="D91" s="238" t="s">
        <v>891</v>
      </c>
      <c r="E91" s="240">
        <v>45334</v>
      </c>
      <c r="F91" s="241">
        <v>86.45</v>
      </c>
      <c r="G91" s="242" t="str">
        <f>IF(Tableau3453[[#This Row],[Date 
du paiement]]="",Tableau3453[[#This Row],[Montant
de la facture
CHF]],"")</f>
        <v/>
      </c>
      <c r="H91" s="243"/>
      <c r="I91" s="245">
        <v>45338</v>
      </c>
      <c r="J91" s="246">
        <v>45365</v>
      </c>
      <c r="K91" s="247" t="s">
        <v>58</v>
      </c>
      <c r="L91" s="248"/>
      <c r="M91" s="248">
        <f>IF(Tableau3453[[#This Row],[Date 
du paiement]]="",$D$4-Tableau3453[[#This Row],[Date
de la facture]],Tableau3453[[#This Row],[Date 
du paiement]]-Tableau3453[[#This Row],[Date
de la facture]])</f>
        <v>31</v>
      </c>
      <c r="N91" s="241" t="str">
        <f>IF(Tableau3453[[#This Row],[Date 
du paiement]]="",IF(Tableau3453[[#This Row],[Jours]]&lt;30,Tableau3453[[#This Row],[Montant
de la facture
CHF]],""),"")</f>
        <v/>
      </c>
      <c r="O91" s="241" t="str">
        <f>IF(Tableau3453[[#This Row],[Date 
du paiement]]="",IF(Tableau3453[[#This Row],[Jours]]&gt;30,IF(Tableau3453[[#This Row],[Jours]]&lt;60,Tableau3453[[#This Row],[Montant
de la facture
CHF]],""),""),"")</f>
        <v/>
      </c>
      <c r="P91" s="241" t="str">
        <f>IF(Tableau3453[[#This Row],[Date 
du paiement]]="",IF(Tableau3453[[#This Row],[Jours]]&gt;60,Tableau3453[[#This Row],[Montant
de la facture
CHF]],""),"")</f>
        <v/>
      </c>
      <c r="Q91" s="249"/>
      <c r="R91" s="250" t="str">
        <f>Tableau3453[[#This Row],[Solde 
ouverte
fm]]</f>
        <v/>
      </c>
      <c r="S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2" spans="1:19" hidden="1" outlineLevel="1" x14ac:dyDescent="0.25">
      <c r="A92" s="238">
        <v>230648</v>
      </c>
      <c r="B92" s="239" t="s">
        <v>857</v>
      </c>
      <c r="C92" s="352" t="str">
        <f>IF(Tableau3453[[#This Row],[Date 
du paiement]]="",IF(Tableau3453[[#This Row],[Jours]]&gt;Tableau3453[[#This Row],[Conditions
pmt+]]+5,"oui",""),"")</f>
        <v/>
      </c>
      <c r="D92" s="238" t="s">
        <v>914</v>
      </c>
      <c r="E92" s="240">
        <v>45335</v>
      </c>
      <c r="F92" s="241">
        <v>16966.400000000001</v>
      </c>
      <c r="G92" s="242" t="str">
        <f>IF(Tableau3453[[#This Row],[Date 
du paiement]]="",Tableau3453[[#This Row],[Montant
de la facture
CHF]],"")</f>
        <v/>
      </c>
      <c r="H92" s="243"/>
      <c r="I92" s="245">
        <v>45338</v>
      </c>
      <c r="J92" s="246">
        <v>45372</v>
      </c>
      <c r="K92" s="247" t="s">
        <v>58</v>
      </c>
      <c r="L92" s="248"/>
      <c r="M92" s="248">
        <f>IF(Tableau3453[[#This Row],[Date 
du paiement]]="",$D$4-Tableau3453[[#This Row],[Date
de la facture]],Tableau3453[[#This Row],[Date 
du paiement]]-Tableau3453[[#This Row],[Date
de la facture]])</f>
        <v>37</v>
      </c>
      <c r="N92" s="241" t="str">
        <f>IF(Tableau3453[[#This Row],[Date 
du paiement]]="",IF(Tableau3453[[#This Row],[Jours]]&lt;30,Tableau3453[[#This Row],[Montant
de la facture
CHF]],""),"")</f>
        <v/>
      </c>
      <c r="O92" s="241" t="str">
        <f>IF(Tableau3453[[#This Row],[Date 
du paiement]]="",IF(Tableau3453[[#This Row],[Jours]]&gt;30,IF(Tableau3453[[#This Row],[Jours]]&lt;60,Tableau3453[[#This Row],[Montant
de la facture
CHF]],""),""),"")</f>
        <v/>
      </c>
      <c r="P92" s="241" t="str">
        <f>IF(Tableau3453[[#This Row],[Date 
du paiement]]="",IF(Tableau3453[[#This Row],[Jours]]&gt;60,Tableau3453[[#This Row],[Montant
de la facture
CHF]],""),"")</f>
        <v/>
      </c>
      <c r="Q92" s="249"/>
      <c r="R92" s="250" t="str">
        <f>Tableau3453[[#This Row],[Solde 
ouverte
fm]]</f>
        <v/>
      </c>
      <c r="S9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3" spans="1:19" hidden="1" outlineLevel="1" x14ac:dyDescent="0.25">
      <c r="A93" s="238">
        <v>240063</v>
      </c>
      <c r="B93" s="239" t="s">
        <v>860</v>
      </c>
      <c r="C93" s="352" t="str">
        <f>IF(Tableau3453[[#This Row],[Date 
du paiement]]="",IF(Tableau3453[[#This Row],[Jours]]&gt;Tableau3453[[#This Row],[Conditions
pmt+]]+5,"oui",""),"")</f>
        <v/>
      </c>
      <c r="D93" s="251" t="s">
        <v>885</v>
      </c>
      <c r="E93" s="240">
        <v>45335</v>
      </c>
      <c r="F93" s="241">
        <v>1073.8</v>
      </c>
      <c r="G93" s="242" t="str">
        <f>IF(Tableau3453[[#This Row],[Date 
du paiement]]="",Tableau3453[[#This Row],[Montant
de la facture
CHF]],"")</f>
        <v/>
      </c>
      <c r="H93" s="243"/>
      <c r="I93" s="245">
        <v>45338</v>
      </c>
      <c r="J93" s="246">
        <v>45349</v>
      </c>
      <c r="K93" s="247" t="s">
        <v>58</v>
      </c>
      <c r="L93" s="248"/>
      <c r="M93" s="248">
        <f>IF(Tableau3453[[#This Row],[Date 
du paiement]]="",$D$4-Tableau3453[[#This Row],[Date
de la facture]],Tableau3453[[#This Row],[Date 
du paiement]]-Tableau3453[[#This Row],[Date
de la facture]])</f>
        <v>14</v>
      </c>
      <c r="N93" s="241" t="str">
        <f>IF(Tableau3453[[#This Row],[Date 
du paiement]]="",IF(Tableau3453[[#This Row],[Jours]]&lt;30,Tableau3453[[#This Row],[Montant
de la facture
CHF]],""),"")</f>
        <v/>
      </c>
      <c r="O93" s="241" t="str">
        <f>IF(Tableau3453[[#This Row],[Date 
du paiement]]="",IF(Tableau3453[[#This Row],[Jours]]&gt;30,IF(Tableau3453[[#This Row],[Jours]]&lt;60,Tableau3453[[#This Row],[Montant
de la facture
CHF]],""),""),"")</f>
        <v/>
      </c>
      <c r="P93" s="241" t="str">
        <f>IF(Tableau3453[[#This Row],[Date 
du paiement]]="",IF(Tableau3453[[#This Row],[Jours]]&gt;60,Tableau3453[[#This Row],[Montant
de la facture
CHF]],""),"")</f>
        <v/>
      </c>
      <c r="Q93" s="249"/>
      <c r="R93" s="250" t="str">
        <f>Tableau3453[[#This Row],[Solde 
ouverte
fm]]</f>
        <v/>
      </c>
      <c r="S9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4" spans="1:19" hidden="1" outlineLevel="1" x14ac:dyDescent="0.25">
      <c r="A94" s="238">
        <v>240136</v>
      </c>
      <c r="B94" s="239" t="s">
        <v>860</v>
      </c>
      <c r="C94" s="352" t="str">
        <f>IF(Tableau3453[[#This Row],[Date 
du paiement]]="",IF(Tableau3453[[#This Row],[Jours]]&gt;Tableau3453[[#This Row],[Conditions
pmt+]]+5,"oui",""),"")</f>
        <v/>
      </c>
      <c r="D94" s="238" t="s">
        <v>879</v>
      </c>
      <c r="E94" s="240">
        <v>45336</v>
      </c>
      <c r="F94" s="241">
        <v>454.1</v>
      </c>
      <c r="G94" s="242" t="str">
        <f>IF(Tableau3453[[#This Row],[Date 
du paiement]]="",Tableau3453[[#This Row],[Montant
de la facture
CHF]],"")</f>
        <v/>
      </c>
      <c r="H94" s="243"/>
      <c r="I94" s="245">
        <v>45338</v>
      </c>
      <c r="J94" s="246">
        <v>45414</v>
      </c>
      <c r="K94" s="247" t="s">
        <v>58</v>
      </c>
      <c r="L94" s="248">
        <v>2</v>
      </c>
      <c r="M94" s="248">
        <f>IF(Tableau3453[[#This Row],[Date 
du paiement]]="",$D$4-Tableau3453[[#This Row],[Date
de la facture]],Tableau3453[[#This Row],[Date 
du paiement]]-Tableau3453[[#This Row],[Date
de la facture]])</f>
        <v>78</v>
      </c>
      <c r="N94" s="241" t="str">
        <f>IF(Tableau3453[[#This Row],[Date 
du paiement]]="",IF(Tableau3453[[#This Row],[Jours]]&lt;30,Tableau3453[[#This Row],[Montant
de la facture
CHF]],""),"")</f>
        <v/>
      </c>
      <c r="O94" s="241" t="str">
        <f>IF(Tableau3453[[#This Row],[Date 
du paiement]]="",IF(Tableau3453[[#This Row],[Jours]]&gt;30,IF(Tableau3453[[#This Row],[Jours]]&lt;60,Tableau3453[[#This Row],[Montant
de la facture
CHF]],""),""),"")</f>
        <v/>
      </c>
      <c r="P94" s="241" t="str">
        <f>IF(Tableau3453[[#This Row],[Date 
du paiement]]="",IF(Tableau3453[[#This Row],[Jours]]&gt;60,Tableau3453[[#This Row],[Montant
de la facture
CHF]],""),"")</f>
        <v/>
      </c>
      <c r="Q94" s="249"/>
      <c r="R94" s="250" t="str">
        <f>Tableau3453[[#This Row],[Solde 
ouverte
fm]]</f>
        <v/>
      </c>
      <c r="S9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5" spans="1:19" hidden="1" outlineLevel="1" x14ac:dyDescent="0.25">
      <c r="A95" s="238">
        <v>230834</v>
      </c>
      <c r="B95" s="239" t="s">
        <v>860</v>
      </c>
      <c r="C95" s="352" t="str">
        <f>IF(Tableau3453[[#This Row],[Date 
du paiement]]="",IF(Tableau3453[[#This Row],[Jours]]&gt;Tableau3453[[#This Row],[Conditions
pmt+]]+5,"oui",""),"")</f>
        <v/>
      </c>
      <c r="D95" s="238" t="s">
        <v>876</v>
      </c>
      <c r="E95" s="240">
        <v>45336</v>
      </c>
      <c r="F95" s="241">
        <v>313.75</v>
      </c>
      <c r="G95" s="242" t="str">
        <f>IF(Tableau3453[[#This Row],[Date 
du paiement]]="",Tableau3453[[#This Row],[Montant
de la facture
CHF]],"")</f>
        <v/>
      </c>
      <c r="H95" s="243" t="s">
        <v>915</v>
      </c>
      <c r="I95" s="245">
        <v>45338</v>
      </c>
      <c r="J95" s="246">
        <v>45398</v>
      </c>
      <c r="K95" s="247" t="s">
        <v>58</v>
      </c>
      <c r="L95" s="248"/>
      <c r="M95" s="248">
        <f>IF(Tableau3453[[#This Row],[Date 
du paiement]]="",$D$4-Tableau3453[[#This Row],[Date
de la facture]],Tableau3453[[#This Row],[Date 
du paiement]]-Tableau3453[[#This Row],[Date
de la facture]])</f>
        <v>62</v>
      </c>
      <c r="N95" s="241" t="str">
        <f>IF(Tableau3453[[#This Row],[Date 
du paiement]]="",IF(Tableau3453[[#This Row],[Jours]]&lt;30,Tableau3453[[#This Row],[Montant
de la facture
CHF]],""),"")</f>
        <v/>
      </c>
      <c r="O95" s="241" t="str">
        <f>IF(Tableau3453[[#This Row],[Date 
du paiement]]="",IF(Tableau3453[[#This Row],[Jours]]&gt;30,IF(Tableau3453[[#This Row],[Jours]]&lt;60,Tableau3453[[#This Row],[Montant
de la facture
CHF]],""),""),"")</f>
        <v/>
      </c>
      <c r="P95" s="241" t="str">
        <f>IF(Tableau3453[[#This Row],[Date 
du paiement]]="",IF(Tableau3453[[#This Row],[Jours]]&gt;60,Tableau3453[[#This Row],[Montant
de la facture
CHF]],""),"")</f>
        <v/>
      </c>
      <c r="Q95" s="249"/>
      <c r="R95" s="250" t="str">
        <f>Tableau3453[[#This Row],[Solde 
ouverte
fm]]</f>
        <v/>
      </c>
      <c r="S9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6" spans="1:19" hidden="1" outlineLevel="1" x14ac:dyDescent="0.25">
      <c r="A96" s="238">
        <v>240138</v>
      </c>
      <c r="B96" s="239" t="s">
        <v>857</v>
      </c>
      <c r="C96" s="352" t="str">
        <f>IF(Tableau3453[[#This Row],[Date 
du paiement]]="",IF(Tableau3453[[#This Row],[Jours]]&gt;Tableau3453[[#This Row],[Conditions
pmt+]]+5,"oui",""),"")</f>
        <v/>
      </c>
      <c r="D96" s="238" t="s">
        <v>916</v>
      </c>
      <c r="E96" s="240">
        <v>45336</v>
      </c>
      <c r="F96" s="241">
        <v>1730.65</v>
      </c>
      <c r="G96" s="242" t="str">
        <f>IF(Tableau3453[[#This Row],[Date 
du paiement]]="",Tableau3453[[#This Row],[Montant
de la facture
CHF]],"")</f>
        <v/>
      </c>
      <c r="H96" s="243"/>
      <c r="I96" s="245">
        <v>45338</v>
      </c>
      <c r="J96" s="246">
        <v>45397</v>
      </c>
      <c r="K96" s="247" t="s">
        <v>58</v>
      </c>
      <c r="L96" s="248"/>
      <c r="M96" s="248">
        <f>IF(Tableau3453[[#This Row],[Date 
du paiement]]="",$D$4-Tableau3453[[#This Row],[Date
de la facture]],Tableau3453[[#This Row],[Date 
du paiement]]-Tableau3453[[#This Row],[Date
de la facture]])</f>
        <v>61</v>
      </c>
      <c r="N96" s="241" t="str">
        <f>IF(Tableau3453[[#This Row],[Date 
du paiement]]="",IF(Tableau3453[[#This Row],[Jours]]&lt;30,Tableau3453[[#This Row],[Montant
de la facture
CHF]],""),"")</f>
        <v/>
      </c>
      <c r="O96" s="241" t="str">
        <f>IF(Tableau3453[[#This Row],[Date 
du paiement]]="",IF(Tableau3453[[#This Row],[Jours]]&gt;30,IF(Tableau3453[[#This Row],[Jours]]&lt;60,Tableau3453[[#This Row],[Montant
de la facture
CHF]],""),""),"")</f>
        <v/>
      </c>
      <c r="P96" s="241" t="str">
        <f>IF(Tableau3453[[#This Row],[Date 
du paiement]]="",IF(Tableau3453[[#This Row],[Jours]]&gt;60,Tableau3453[[#This Row],[Montant
de la facture
CHF]],""),"")</f>
        <v/>
      </c>
      <c r="Q96" s="249"/>
      <c r="R96" s="250" t="str">
        <f>Tableau3453[[#This Row],[Solde 
ouverte
fm]]</f>
        <v/>
      </c>
      <c r="S9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7" spans="1:19" hidden="1" outlineLevel="1" x14ac:dyDescent="0.25">
      <c r="A97" s="238">
        <v>230721</v>
      </c>
      <c r="B97" s="239" t="s">
        <v>860</v>
      </c>
      <c r="C97" s="352" t="str">
        <f>IF(Tableau3453[[#This Row],[Date 
du paiement]]="",IF(Tableau3453[[#This Row],[Jours]]&gt;Tableau3453[[#This Row],[Conditions
pmt+]]+5,"oui",""),"")</f>
        <v/>
      </c>
      <c r="D97" s="238" t="s">
        <v>876</v>
      </c>
      <c r="E97" s="240">
        <v>45336</v>
      </c>
      <c r="F97" s="241">
        <v>1255.05</v>
      </c>
      <c r="G97" s="242" t="str">
        <f>IF(Tableau3453[[#This Row],[Date 
du paiement]]="",Tableau3453[[#This Row],[Montant
de la facture
CHF]],"")</f>
        <v/>
      </c>
      <c r="H97" s="243" t="s">
        <v>917</v>
      </c>
      <c r="I97" s="245">
        <v>45338</v>
      </c>
      <c r="J97" s="246">
        <v>45378</v>
      </c>
      <c r="K97" s="247" t="s">
        <v>58</v>
      </c>
      <c r="L97" s="248"/>
      <c r="M97" s="248">
        <f>IF(Tableau3453[[#This Row],[Date 
du paiement]]="",$D$4-Tableau3453[[#This Row],[Date
de la facture]],Tableau3453[[#This Row],[Date 
du paiement]]-Tableau3453[[#This Row],[Date
de la facture]])</f>
        <v>42</v>
      </c>
      <c r="N97" s="241" t="str">
        <f>IF(Tableau3453[[#This Row],[Date 
du paiement]]="",IF(Tableau3453[[#This Row],[Jours]]&lt;30,Tableau3453[[#This Row],[Montant
de la facture
CHF]],""),"")</f>
        <v/>
      </c>
      <c r="O97" s="241" t="str">
        <f>IF(Tableau3453[[#This Row],[Date 
du paiement]]="",IF(Tableau3453[[#This Row],[Jours]]&gt;30,IF(Tableau3453[[#This Row],[Jours]]&lt;60,Tableau3453[[#This Row],[Montant
de la facture
CHF]],""),""),"")</f>
        <v/>
      </c>
      <c r="P97" s="241" t="str">
        <f>IF(Tableau3453[[#This Row],[Date 
du paiement]]="",IF(Tableau3453[[#This Row],[Jours]]&gt;60,Tableau3453[[#This Row],[Montant
de la facture
CHF]],""),"")</f>
        <v/>
      </c>
      <c r="Q97" s="249"/>
      <c r="R97" s="250" t="str">
        <f>Tableau3453[[#This Row],[Solde 
ouverte
fm]]</f>
        <v/>
      </c>
      <c r="S9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8" spans="1:19" hidden="1" outlineLevel="1" x14ac:dyDescent="0.25">
      <c r="A98" s="238">
        <v>240145</v>
      </c>
      <c r="B98" s="239" t="s">
        <v>860</v>
      </c>
      <c r="C98" s="352" t="str">
        <f>IF(Tableau3453[[#This Row],[Date 
du paiement]]="",IF(Tableau3453[[#This Row],[Jours]]&gt;Tableau3453[[#This Row],[Conditions
pmt+]]+5,"oui",""),"")</f>
        <v/>
      </c>
      <c r="D98" s="238" t="s">
        <v>899</v>
      </c>
      <c r="E98" s="240">
        <v>45337</v>
      </c>
      <c r="F98" s="241">
        <v>2251.3000000000002</v>
      </c>
      <c r="G98" s="242" t="str">
        <f>IF(Tableau3453[[#This Row],[Date 
du paiement]]="",Tableau3453[[#This Row],[Montant
de la facture
CHF]],"")</f>
        <v/>
      </c>
      <c r="H98" s="243"/>
      <c r="I98" s="245">
        <v>45338</v>
      </c>
      <c r="J98" s="246">
        <v>45366</v>
      </c>
      <c r="K98" s="247" t="s">
        <v>58</v>
      </c>
      <c r="L98" s="248"/>
      <c r="M98" s="248">
        <f>IF(Tableau3453[[#This Row],[Date 
du paiement]]="",$D$4-Tableau3453[[#This Row],[Date
de la facture]],Tableau3453[[#This Row],[Date 
du paiement]]-Tableau3453[[#This Row],[Date
de la facture]])</f>
        <v>29</v>
      </c>
      <c r="N98" s="241" t="str">
        <f>IF(Tableau3453[[#This Row],[Date 
du paiement]]="",IF(Tableau3453[[#This Row],[Jours]]&lt;30,Tableau3453[[#This Row],[Montant
de la facture
CHF]],""),"")</f>
        <v/>
      </c>
      <c r="O98" s="241" t="str">
        <f>IF(Tableau3453[[#This Row],[Date 
du paiement]]="",IF(Tableau3453[[#This Row],[Jours]]&gt;30,IF(Tableau3453[[#This Row],[Jours]]&lt;60,Tableau3453[[#This Row],[Montant
de la facture
CHF]],""),""),"")</f>
        <v/>
      </c>
      <c r="P98" s="241" t="str">
        <f>IF(Tableau3453[[#This Row],[Date 
du paiement]]="",IF(Tableau3453[[#This Row],[Jours]]&gt;60,Tableau3453[[#This Row],[Montant
de la facture
CHF]],""),"")</f>
        <v/>
      </c>
      <c r="Q98" s="249"/>
      <c r="R98" s="250" t="str">
        <f>Tableau3453[[#This Row],[Solde 
ouverte
fm]]</f>
        <v/>
      </c>
      <c r="S9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99" spans="1:19" hidden="1" outlineLevel="1" x14ac:dyDescent="0.25">
      <c r="A99" s="238">
        <v>240130</v>
      </c>
      <c r="B99" s="239" t="s">
        <v>860</v>
      </c>
      <c r="C99" s="352" t="str">
        <f>IF(Tableau3453[[#This Row],[Date 
du paiement]]="",IF(Tableau3453[[#This Row],[Jours]]&gt;Tableau3453[[#This Row],[Conditions
pmt+]]+5,"oui",""),"")</f>
        <v/>
      </c>
      <c r="D99" s="253" t="s">
        <v>863</v>
      </c>
      <c r="E99" s="240">
        <v>45337</v>
      </c>
      <c r="F99" s="241">
        <v>4805.3</v>
      </c>
      <c r="G99" s="242" t="str">
        <f>IF(Tableau3453[[#This Row],[Date 
du paiement]]="",Tableau3453[[#This Row],[Montant
de la facture
CHF]],"")</f>
        <v/>
      </c>
      <c r="H99" s="243"/>
      <c r="I99" s="245">
        <v>45338</v>
      </c>
      <c r="J99" s="246">
        <v>45365</v>
      </c>
      <c r="K99" s="247" t="s">
        <v>58</v>
      </c>
      <c r="L99" s="248"/>
      <c r="M99" s="248">
        <f>IF(Tableau3453[[#This Row],[Date 
du paiement]]="",$D$4-Tableau3453[[#This Row],[Date
de la facture]],Tableau3453[[#This Row],[Date 
du paiement]]-Tableau3453[[#This Row],[Date
de la facture]])</f>
        <v>28</v>
      </c>
      <c r="N99" s="241" t="str">
        <f>IF(Tableau3453[[#This Row],[Date 
du paiement]]="",IF(Tableau3453[[#This Row],[Jours]]&lt;30,Tableau3453[[#This Row],[Montant
de la facture
CHF]],""),"")</f>
        <v/>
      </c>
      <c r="O99" s="241" t="str">
        <f>IF(Tableau3453[[#This Row],[Date 
du paiement]]="",IF(Tableau3453[[#This Row],[Jours]]&gt;30,IF(Tableau3453[[#This Row],[Jours]]&lt;60,Tableau3453[[#This Row],[Montant
de la facture
CHF]],""),""),"")</f>
        <v/>
      </c>
      <c r="P99" s="241" t="str">
        <f>IF(Tableau3453[[#This Row],[Date 
du paiement]]="",IF(Tableau3453[[#This Row],[Jours]]&gt;60,Tableau3453[[#This Row],[Montant
de la facture
CHF]],""),"")</f>
        <v/>
      </c>
      <c r="Q99" s="249"/>
      <c r="R99" s="250" t="str">
        <f>Tableau3453[[#This Row],[Solde 
ouverte
fm]]</f>
        <v/>
      </c>
      <c r="S9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0" spans="1:19" hidden="1" outlineLevel="1" x14ac:dyDescent="0.25">
      <c r="A100" s="238">
        <v>240156</v>
      </c>
      <c r="B100" s="239" t="s">
        <v>860</v>
      </c>
      <c r="C100" s="352" t="str">
        <f>IF(Tableau3453[[#This Row],[Date 
du paiement]]="",IF(Tableau3453[[#This Row],[Jours]]&gt;Tableau3453[[#This Row],[Conditions
pmt+]]+5,"oui",""),"")</f>
        <v/>
      </c>
      <c r="D100" s="238" t="s">
        <v>918</v>
      </c>
      <c r="E100" s="240">
        <v>45338</v>
      </c>
      <c r="F100" s="241">
        <v>293.45</v>
      </c>
      <c r="G100" s="242" t="str">
        <f>IF(Tableau3453[[#This Row],[Date 
du paiement]]="",Tableau3453[[#This Row],[Montant
de la facture
CHF]],"")</f>
        <v/>
      </c>
      <c r="H100" s="243"/>
      <c r="I100" s="245">
        <v>45343</v>
      </c>
      <c r="J100" s="246">
        <v>45394</v>
      </c>
      <c r="K100" s="247" t="s">
        <v>58</v>
      </c>
      <c r="L100" s="248">
        <v>1</v>
      </c>
      <c r="M100" s="248">
        <f>IF(Tableau3453[[#This Row],[Date 
du paiement]]="",$D$4-Tableau3453[[#This Row],[Date
de la facture]],Tableau3453[[#This Row],[Date 
du paiement]]-Tableau3453[[#This Row],[Date
de la facture]])</f>
        <v>56</v>
      </c>
      <c r="N100" s="241" t="str">
        <f>IF(Tableau3453[[#This Row],[Date 
du paiement]]="",IF(Tableau3453[[#This Row],[Jours]]&lt;30,Tableau3453[[#This Row],[Montant
de la facture
CHF]],""),"")</f>
        <v/>
      </c>
      <c r="O100" s="241" t="str">
        <f>IF(Tableau3453[[#This Row],[Date 
du paiement]]="",IF(Tableau3453[[#This Row],[Jours]]&gt;30,IF(Tableau3453[[#This Row],[Jours]]&lt;60,Tableau3453[[#This Row],[Montant
de la facture
CHF]],""),""),"")</f>
        <v/>
      </c>
      <c r="P100" s="241" t="str">
        <f>IF(Tableau3453[[#This Row],[Date 
du paiement]]="",IF(Tableau3453[[#This Row],[Jours]]&gt;60,Tableau3453[[#This Row],[Montant
de la facture
CHF]],""),"")</f>
        <v/>
      </c>
      <c r="Q100" s="249"/>
      <c r="R100" s="250" t="str">
        <f>Tableau3453[[#This Row],[Solde 
ouverte
fm]]</f>
        <v/>
      </c>
      <c r="S10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1" spans="1:19" hidden="1" outlineLevel="1" x14ac:dyDescent="0.25">
      <c r="A101" s="238">
        <v>240135</v>
      </c>
      <c r="B101" s="239" t="s">
        <v>860</v>
      </c>
      <c r="C101" s="352" t="str">
        <f>IF(Tableau3453[[#This Row],[Date 
du paiement]]="",IF(Tableau3453[[#This Row],[Jours]]&gt;Tableau3453[[#This Row],[Conditions
pmt+]]+5,"oui",""),"")</f>
        <v/>
      </c>
      <c r="D101" s="238" t="s">
        <v>919</v>
      </c>
      <c r="E101" s="240">
        <v>45338</v>
      </c>
      <c r="F101" s="241">
        <v>8274.5</v>
      </c>
      <c r="G101" s="242" t="str">
        <f>IF(Tableau3453[[#This Row],[Date 
du paiement]]="",Tableau3453[[#This Row],[Montant
de la facture
CHF]],"")</f>
        <v/>
      </c>
      <c r="H101" s="243"/>
      <c r="I101" s="245">
        <v>45343</v>
      </c>
      <c r="J101" s="246">
        <v>45387</v>
      </c>
      <c r="K101" s="247" t="s">
        <v>58</v>
      </c>
      <c r="L101" s="248"/>
      <c r="M101" s="248">
        <f>IF(Tableau3453[[#This Row],[Date 
du paiement]]="",$D$4-Tableau3453[[#This Row],[Date
de la facture]],Tableau3453[[#This Row],[Date 
du paiement]]-Tableau3453[[#This Row],[Date
de la facture]])</f>
        <v>49</v>
      </c>
      <c r="N101" s="241" t="str">
        <f>IF(Tableau3453[[#This Row],[Date 
du paiement]]="",IF(Tableau3453[[#This Row],[Jours]]&lt;30,Tableau3453[[#This Row],[Montant
de la facture
CHF]],""),"")</f>
        <v/>
      </c>
      <c r="O101" s="241" t="str">
        <f>IF(Tableau3453[[#This Row],[Date 
du paiement]]="",IF(Tableau3453[[#This Row],[Jours]]&gt;30,IF(Tableau3453[[#This Row],[Jours]]&lt;60,Tableau3453[[#This Row],[Montant
de la facture
CHF]],""),""),"")</f>
        <v/>
      </c>
      <c r="P101" s="241" t="str">
        <f>IF(Tableau3453[[#This Row],[Date 
du paiement]]="",IF(Tableau3453[[#This Row],[Jours]]&gt;60,Tableau3453[[#This Row],[Montant
de la facture
CHF]],""),"")</f>
        <v/>
      </c>
      <c r="Q101" s="249"/>
      <c r="R101" s="250" t="str">
        <f>Tableau3453[[#This Row],[Solde 
ouverte
fm]]</f>
        <v/>
      </c>
      <c r="S10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2" spans="1:19" hidden="1" outlineLevel="1" x14ac:dyDescent="0.25">
      <c r="A102" s="238">
        <v>240153</v>
      </c>
      <c r="B102" s="239" t="s">
        <v>860</v>
      </c>
      <c r="C102" s="352" t="str">
        <f>IF(Tableau3453[[#This Row],[Date 
du paiement]]="",IF(Tableau3453[[#This Row],[Jours]]&gt;Tableau3453[[#This Row],[Conditions
pmt+]]+5,"oui",""),"")</f>
        <v/>
      </c>
      <c r="D102" s="262" t="s">
        <v>1026</v>
      </c>
      <c r="E102" s="240">
        <v>45338</v>
      </c>
      <c r="F102" s="241">
        <v>111.95</v>
      </c>
      <c r="G102" s="242" t="str">
        <f>IF(Tableau3453[[#This Row],[Date 
du paiement]]="",Tableau3453[[#This Row],[Montant
de la facture
CHF]],"")</f>
        <v/>
      </c>
      <c r="H102" s="243"/>
      <c r="I102" s="245">
        <v>45343</v>
      </c>
      <c r="J102" s="246">
        <v>45379</v>
      </c>
      <c r="K102" s="247" t="s">
        <v>58</v>
      </c>
      <c r="L102" s="248"/>
      <c r="M102" s="248">
        <f>IF(Tableau3453[[#This Row],[Date 
du paiement]]="",$D$4-Tableau3453[[#This Row],[Date
de la facture]],Tableau3453[[#This Row],[Date 
du paiement]]-Tableau3453[[#This Row],[Date
de la facture]])</f>
        <v>41</v>
      </c>
      <c r="N102" s="241" t="str">
        <f>IF(Tableau3453[[#This Row],[Date 
du paiement]]="",IF(Tableau3453[[#This Row],[Jours]]&lt;30,Tableau3453[[#This Row],[Montant
de la facture
CHF]],""),"")</f>
        <v/>
      </c>
      <c r="O102" s="241" t="str">
        <f>IF(Tableau3453[[#This Row],[Date 
du paiement]]="",IF(Tableau3453[[#This Row],[Jours]]&gt;30,IF(Tableau3453[[#This Row],[Jours]]&lt;60,Tableau3453[[#This Row],[Montant
de la facture
CHF]],""),""),"")</f>
        <v/>
      </c>
      <c r="P102" s="241" t="str">
        <f>IF(Tableau3453[[#This Row],[Date 
du paiement]]="",IF(Tableau3453[[#This Row],[Jours]]&gt;60,Tableau3453[[#This Row],[Montant
de la facture
CHF]],""),"")</f>
        <v/>
      </c>
      <c r="Q102" s="249"/>
      <c r="R102" s="250" t="str">
        <f>Tableau3453[[#This Row],[Solde 
ouverte
fm]]</f>
        <v/>
      </c>
      <c r="S10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3" spans="1:19" hidden="1" outlineLevel="1" x14ac:dyDescent="0.25">
      <c r="A103" s="238">
        <v>240140</v>
      </c>
      <c r="B103" s="239" t="s">
        <v>857</v>
      </c>
      <c r="C103" s="352" t="str">
        <f>IF(Tableau3453[[#This Row],[Date 
du paiement]]="",IF(Tableau3453[[#This Row],[Jours]]&gt;Tableau3453[[#This Row],[Conditions
pmt+]]+5,"oui",""),"")</f>
        <v/>
      </c>
      <c r="D103" s="251" t="s">
        <v>869</v>
      </c>
      <c r="E103" s="240">
        <v>45338</v>
      </c>
      <c r="F103" s="241">
        <v>3220.85</v>
      </c>
      <c r="G103" s="242" t="str">
        <f>IF(Tableau3453[[#This Row],[Date 
du paiement]]="",Tableau3453[[#This Row],[Montant
de la facture
CHF]],"")</f>
        <v/>
      </c>
      <c r="H103" s="243" t="s">
        <v>920</v>
      </c>
      <c r="I103" s="245">
        <v>45343</v>
      </c>
      <c r="J103" s="246">
        <v>45369</v>
      </c>
      <c r="K103" s="247" t="s">
        <v>58</v>
      </c>
      <c r="L103" s="248"/>
      <c r="M103" s="248">
        <f>IF(Tableau3453[[#This Row],[Date 
du paiement]]="",$D$4-Tableau3453[[#This Row],[Date
de la facture]],Tableau3453[[#This Row],[Date 
du paiement]]-Tableau3453[[#This Row],[Date
de la facture]])</f>
        <v>31</v>
      </c>
      <c r="N103" s="241" t="str">
        <f>IF(Tableau3453[[#This Row],[Date 
du paiement]]="",IF(Tableau3453[[#This Row],[Jours]]&lt;30,Tableau3453[[#This Row],[Montant
de la facture
CHF]],""),"")</f>
        <v/>
      </c>
      <c r="O103" s="241" t="str">
        <f>IF(Tableau3453[[#This Row],[Date 
du paiement]]="",IF(Tableau3453[[#This Row],[Jours]]&gt;30,IF(Tableau3453[[#This Row],[Jours]]&lt;60,Tableau3453[[#This Row],[Montant
de la facture
CHF]],""),""),"")</f>
        <v/>
      </c>
      <c r="P103" s="241" t="str">
        <f>IF(Tableau3453[[#This Row],[Date 
du paiement]]="",IF(Tableau3453[[#This Row],[Jours]]&gt;60,Tableau3453[[#This Row],[Montant
de la facture
CHF]],""),"")</f>
        <v/>
      </c>
      <c r="Q103" s="249"/>
      <c r="R103" s="250" t="str">
        <f>Tableau3453[[#This Row],[Solde 
ouverte
fm]]</f>
        <v/>
      </c>
      <c r="S10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4" spans="1:19" hidden="1" outlineLevel="1" x14ac:dyDescent="0.25">
      <c r="A104" s="238">
        <v>230792</v>
      </c>
      <c r="B104" s="239" t="s">
        <v>860</v>
      </c>
      <c r="C104" s="352" t="str">
        <f>IF(Tableau3453[[#This Row],[Date 
du paiement]]="",IF(Tableau3453[[#This Row],[Jours]]&gt;Tableau3453[[#This Row],[Conditions
pmt+]]+5,"oui",""),"")</f>
        <v/>
      </c>
      <c r="D104" s="238" t="s">
        <v>921</v>
      </c>
      <c r="E104" s="240">
        <v>45341</v>
      </c>
      <c r="F104" s="241">
        <v>4888.55</v>
      </c>
      <c r="G104" s="242" t="str">
        <f>IF(Tableau3453[[#This Row],[Date 
du paiement]]="",Tableau3453[[#This Row],[Montant
de la facture
CHF]],"")</f>
        <v/>
      </c>
      <c r="H104" s="243"/>
      <c r="I104" s="245">
        <v>45345</v>
      </c>
      <c r="J104" s="246">
        <v>45384</v>
      </c>
      <c r="K104" s="247" t="s">
        <v>58</v>
      </c>
      <c r="L104" s="248"/>
      <c r="M104" s="248">
        <f>IF(Tableau3453[[#This Row],[Date 
du paiement]]="",$D$4-Tableau3453[[#This Row],[Date
de la facture]],Tableau3453[[#This Row],[Date 
du paiement]]-Tableau3453[[#This Row],[Date
de la facture]])</f>
        <v>43</v>
      </c>
      <c r="N104" s="241" t="str">
        <f>IF(Tableau3453[[#This Row],[Date 
du paiement]]="",IF(Tableau3453[[#This Row],[Jours]]&lt;30,Tableau3453[[#This Row],[Montant
de la facture
CHF]],""),"")</f>
        <v/>
      </c>
      <c r="O104" s="241" t="str">
        <f>IF(Tableau3453[[#This Row],[Date 
du paiement]]="",IF(Tableau3453[[#This Row],[Jours]]&gt;30,IF(Tableau3453[[#This Row],[Jours]]&lt;60,Tableau3453[[#This Row],[Montant
de la facture
CHF]],""),""),"")</f>
        <v/>
      </c>
      <c r="P104" s="241" t="str">
        <f>IF(Tableau3453[[#This Row],[Date 
du paiement]]="",IF(Tableau3453[[#This Row],[Jours]]&gt;60,Tableau3453[[#This Row],[Montant
de la facture
CHF]],""),"")</f>
        <v/>
      </c>
      <c r="Q104" s="249"/>
      <c r="R104" s="250" t="str">
        <f>Tableau3453[[#This Row],[Solde 
ouverte
fm]]</f>
        <v/>
      </c>
      <c r="S1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5" spans="1:19" hidden="1" outlineLevel="1" x14ac:dyDescent="0.25">
      <c r="A105" s="238">
        <v>240160</v>
      </c>
      <c r="B105" s="239" t="s">
        <v>860</v>
      </c>
      <c r="C105" s="352" t="str">
        <f>IF(Tableau3453[[#This Row],[Date 
du paiement]]="",IF(Tableau3453[[#This Row],[Jours]]&gt;Tableau3453[[#This Row],[Conditions
pmt+]]+5,"oui",""),"")</f>
        <v/>
      </c>
      <c r="D105" s="238" t="s">
        <v>905</v>
      </c>
      <c r="E105" s="240">
        <v>45341</v>
      </c>
      <c r="F105" s="241">
        <v>575.6</v>
      </c>
      <c r="G105" s="242" t="str">
        <f>IF(Tableau3453[[#This Row],[Date 
du paiement]]="",Tableau3453[[#This Row],[Montant
de la facture
CHF]],"")</f>
        <v/>
      </c>
      <c r="H105" s="243"/>
      <c r="I105" s="245">
        <v>45345</v>
      </c>
      <c r="J105" s="246">
        <v>45371</v>
      </c>
      <c r="K105" s="247" t="s">
        <v>58</v>
      </c>
      <c r="L105" s="248"/>
      <c r="M105" s="248">
        <f>IF(Tableau3453[[#This Row],[Date 
du paiement]]="",$D$4-Tableau3453[[#This Row],[Date
de la facture]],Tableau3453[[#This Row],[Date 
du paiement]]-Tableau3453[[#This Row],[Date
de la facture]])</f>
        <v>30</v>
      </c>
      <c r="N105" s="241" t="str">
        <f>IF(Tableau3453[[#This Row],[Date 
du paiement]]="",IF(Tableau3453[[#This Row],[Jours]]&lt;30,Tableau3453[[#This Row],[Montant
de la facture
CHF]],""),"")</f>
        <v/>
      </c>
      <c r="O105" s="241" t="str">
        <f>IF(Tableau3453[[#This Row],[Date 
du paiement]]="",IF(Tableau3453[[#This Row],[Jours]]&gt;30,IF(Tableau3453[[#This Row],[Jours]]&lt;60,Tableau3453[[#This Row],[Montant
de la facture
CHF]],""),""),"")</f>
        <v/>
      </c>
      <c r="P105" s="241" t="str">
        <f>IF(Tableau3453[[#This Row],[Date 
du paiement]]="",IF(Tableau3453[[#This Row],[Jours]]&gt;60,Tableau3453[[#This Row],[Montant
de la facture
CHF]],""),"")</f>
        <v/>
      </c>
      <c r="Q105" s="249"/>
      <c r="R105" s="250" t="str">
        <f>Tableau3453[[#This Row],[Solde 
ouverte
fm]]</f>
        <v/>
      </c>
      <c r="S10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6" spans="1:19" hidden="1" outlineLevel="1" x14ac:dyDescent="0.25">
      <c r="A106" s="238">
        <v>240146</v>
      </c>
      <c r="B106" s="239" t="s">
        <v>860</v>
      </c>
      <c r="C106" s="352" t="str">
        <f>IF(Tableau3453[[#This Row],[Date 
du paiement]]="",IF(Tableau3453[[#This Row],[Jours]]&gt;Tableau3453[[#This Row],[Conditions
pmt+]]+5,"oui",""),"")</f>
        <v/>
      </c>
      <c r="D106" s="251" t="s">
        <v>885</v>
      </c>
      <c r="E106" s="240">
        <v>45341</v>
      </c>
      <c r="F106" s="241">
        <v>1648.55</v>
      </c>
      <c r="G106" s="242" t="str">
        <f>IF(Tableau3453[[#This Row],[Date 
du paiement]]="",Tableau3453[[#This Row],[Montant
de la facture
CHF]],"")</f>
        <v/>
      </c>
      <c r="H106" s="243"/>
      <c r="I106" s="245">
        <v>45345</v>
      </c>
      <c r="J106" s="246">
        <v>45349</v>
      </c>
      <c r="K106" s="247" t="s">
        <v>58</v>
      </c>
      <c r="L106" s="248"/>
      <c r="M106" s="248">
        <f>IF(Tableau3453[[#This Row],[Date 
du paiement]]="",$D$4-Tableau3453[[#This Row],[Date
de la facture]],Tableau3453[[#This Row],[Date 
du paiement]]-Tableau3453[[#This Row],[Date
de la facture]])</f>
        <v>8</v>
      </c>
      <c r="N106" s="241" t="str">
        <f>IF(Tableau3453[[#This Row],[Date 
du paiement]]="",IF(Tableau3453[[#This Row],[Jours]]&lt;30,Tableau3453[[#This Row],[Montant
de la facture
CHF]],""),"")</f>
        <v/>
      </c>
      <c r="O106" s="241" t="str">
        <f>IF(Tableau3453[[#This Row],[Date 
du paiement]]="",IF(Tableau3453[[#This Row],[Jours]]&gt;30,IF(Tableau3453[[#This Row],[Jours]]&lt;60,Tableau3453[[#This Row],[Montant
de la facture
CHF]],""),""),"")</f>
        <v/>
      </c>
      <c r="P106" s="241" t="str">
        <f>IF(Tableau3453[[#This Row],[Date 
du paiement]]="",IF(Tableau3453[[#This Row],[Jours]]&gt;60,Tableau3453[[#This Row],[Montant
de la facture
CHF]],""),"")</f>
        <v/>
      </c>
      <c r="Q106" s="249"/>
      <c r="R106" s="250" t="str">
        <f>Tableau3453[[#This Row],[Solde 
ouverte
fm]]</f>
        <v/>
      </c>
      <c r="S10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7" spans="1:19" hidden="1" outlineLevel="1" x14ac:dyDescent="0.25">
      <c r="A107" s="238">
        <v>240158</v>
      </c>
      <c r="B107" s="239" t="s">
        <v>860</v>
      </c>
      <c r="C107" s="352" t="str">
        <f>IF(Tableau3453[[#This Row],[Date 
du paiement]]="",IF(Tableau3453[[#This Row],[Jours]]&gt;Tableau3453[[#This Row],[Conditions
pmt+]]+5,"oui",""),"")</f>
        <v/>
      </c>
      <c r="D107" s="238" t="s">
        <v>909</v>
      </c>
      <c r="E107" s="240">
        <v>45342</v>
      </c>
      <c r="F107" s="241">
        <v>8662.7999999999993</v>
      </c>
      <c r="G107" s="242" t="str">
        <f>IF(Tableau3453[[#This Row],[Date 
du paiement]]="",Tableau3453[[#This Row],[Montant
de la facture
CHF]],"")</f>
        <v/>
      </c>
      <c r="H107" s="243" t="s">
        <v>922</v>
      </c>
      <c r="I107" s="245">
        <v>45351</v>
      </c>
      <c r="J107" s="246">
        <v>45418</v>
      </c>
      <c r="K107" s="247" t="s">
        <v>58</v>
      </c>
      <c r="L107" s="248"/>
      <c r="M107" s="248">
        <f>IF(Tableau3453[[#This Row],[Date 
du paiement]]="",$D$4-Tableau3453[[#This Row],[Date
de la facture]],Tableau3453[[#This Row],[Date 
du paiement]]-Tableau3453[[#This Row],[Date
de la facture]])</f>
        <v>76</v>
      </c>
      <c r="N107" s="241" t="str">
        <f>IF(Tableau3453[[#This Row],[Date 
du paiement]]="",IF(Tableau3453[[#This Row],[Jours]]&lt;30,Tableau3453[[#This Row],[Montant
de la facture
CHF]],""),"")</f>
        <v/>
      </c>
      <c r="O107" s="241" t="str">
        <f>IF(Tableau3453[[#This Row],[Date 
du paiement]]="",IF(Tableau3453[[#This Row],[Jours]]&gt;30,IF(Tableau3453[[#This Row],[Jours]]&lt;60,Tableau3453[[#This Row],[Montant
de la facture
CHF]],""),""),"")</f>
        <v/>
      </c>
      <c r="P107" s="241" t="str">
        <f>IF(Tableau3453[[#This Row],[Date 
du paiement]]="",IF(Tableau3453[[#This Row],[Jours]]&gt;60,Tableau3453[[#This Row],[Montant
de la facture
CHF]],""),"")</f>
        <v/>
      </c>
      <c r="Q107" s="249"/>
      <c r="R107" s="250" t="str">
        <f>Tableau3453[[#This Row],[Solde 
ouverte
fm]]</f>
        <v/>
      </c>
      <c r="S10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8" spans="1:19" hidden="1" outlineLevel="1" x14ac:dyDescent="0.25">
      <c r="A108" s="238">
        <v>240164</v>
      </c>
      <c r="B108" s="239" t="s">
        <v>860</v>
      </c>
      <c r="C108" s="352" t="str">
        <f>IF(Tableau3453[[#This Row],[Date 
du paiement]]="",IF(Tableau3453[[#This Row],[Jours]]&gt;Tableau3453[[#This Row],[Conditions
pmt+]]+5,"oui",""),"")</f>
        <v/>
      </c>
      <c r="D108" s="251" t="s">
        <v>923</v>
      </c>
      <c r="E108" s="240">
        <v>45342</v>
      </c>
      <c r="F108" s="241">
        <v>10536.05</v>
      </c>
      <c r="G108" s="242" t="str">
        <f>IF(Tableau3453[[#This Row],[Date 
du paiement]]="",Tableau3453[[#This Row],[Montant
de la facture
CHF]],"")</f>
        <v/>
      </c>
      <c r="H108" s="243"/>
      <c r="I108" s="245">
        <v>45345</v>
      </c>
      <c r="J108" s="246">
        <v>45406</v>
      </c>
      <c r="K108" s="247" t="s">
        <v>58</v>
      </c>
      <c r="L108" s="248">
        <v>1</v>
      </c>
      <c r="M108" s="248">
        <f>IF(Tableau3453[[#This Row],[Date 
du paiement]]="",$D$4-Tableau3453[[#This Row],[Date
de la facture]],Tableau3453[[#This Row],[Date 
du paiement]]-Tableau3453[[#This Row],[Date
de la facture]])</f>
        <v>64</v>
      </c>
      <c r="N108" s="241" t="str">
        <f>IF(Tableau3453[[#This Row],[Date 
du paiement]]="",IF(Tableau3453[[#This Row],[Jours]]&lt;30,Tableau3453[[#This Row],[Montant
de la facture
CHF]],""),"")</f>
        <v/>
      </c>
      <c r="O108" s="241" t="str">
        <f>IF(Tableau3453[[#This Row],[Date 
du paiement]]="",IF(Tableau3453[[#This Row],[Jours]]&gt;30,IF(Tableau3453[[#This Row],[Jours]]&lt;60,Tableau3453[[#This Row],[Montant
de la facture
CHF]],""),""),"")</f>
        <v/>
      </c>
      <c r="P108" s="241" t="str">
        <f>IF(Tableau3453[[#This Row],[Date 
du paiement]]="",IF(Tableau3453[[#This Row],[Jours]]&gt;60,Tableau3453[[#This Row],[Montant
de la facture
CHF]],""),"")</f>
        <v/>
      </c>
      <c r="Q108" s="249"/>
      <c r="R108" s="250" t="str">
        <f>Tableau3453[[#This Row],[Solde 
ouverte
fm]]</f>
        <v/>
      </c>
      <c r="S10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09" spans="1:19" hidden="1" outlineLevel="1" x14ac:dyDescent="0.25">
      <c r="A109" s="238">
        <v>240168</v>
      </c>
      <c r="B109" s="239" t="s">
        <v>860</v>
      </c>
      <c r="C109" s="352" t="str">
        <f>IF(Tableau3453[[#This Row],[Date 
du paiement]]="",IF(Tableau3453[[#This Row],[Jours]]&gt;Tableau3453[[#This Row],[Conditions
pmt+]]+5,"oui",""),"")</f>
        <v/>
      </c>
      <c r="D109" s="274" t="s">
        <v>909</v>
      </c>
      <c r="E109" s="240">
        <v>45343</v>
      </c>
      <c r="F109" s="241">
        <v>1876.15</v>
      </c>
      <c r="G109" s="242" t="str">
        <f>IF(Tableau3453[[#This Row],[Date 
du paiement]]="",Tableau3453[[#This Row],[Montant
de la facture
CHF]],"")</f>
        <v/>
      </c>
      <c r="H109" s="243" t="s">
        <v>922</v>
      </c>
      <c r="I109" s="245">
        <v>45351</v>
      </c>
      <c r="J109" s="246">
        <v>45418</v>
      </c>
      <c r="K109" s="247" t="s">
        <v>58</v>
      </c>
      <c r="L109" s="248"/>
      <c r="M109" s="248">
        <f>IF(Tableau3453[[#This Row],[Date 
du paiement]]="",$D$4-Tableau3453[[#This Row],[Date
de la facture]],Tableau3453[[#This Row],[Date 
du paiement]]-Tableau3453[[#This Row],[Date
de la facture]])</f>
        <v>75</v>
      </c>
      <c r="N109" s="241" t="str">
        <f>IF(Tableau3453[[#This Row],[Date 
du paiement]]="",IF(Tableau3453[[#This Row],[Jours]]&lt;30,Tableau3453[[#This Row],[Montant
de la facture
CHF]],""),"")</f>
        <v/>
      </c>
      <c r="O109" s="241" t="str">
        <f>IF(Tableau3453[[#This Row],[Date 
du paiement]]="",IF(Tableau3453[[#This Row],[Jours]]&gt;30,IF(Tableau3453[[#This Row],[Jours]]&lt;60,Tableau3453[[#This Row],[Montant
de la facture
CHF]],""),""),"")</f>
        <v/>
      </c>
      <c r="P109" s="241" t="str">
        <f>IF(Tableau3453[[#This Row],[Date 
du paiement]]="",IF(Tableau3453[[#This Row],[Jours]]&gt;60,Tableau3453[[#This Row],[Montant
de la facture
CHF]],""),"")</f>
        <v/>
      </c>
      <c r="Q109" s="249"/>
      <c r="R109" s="250" t="str">
        <f>Tableau3453[[#This Row],[Solde 
ouverte
fm]]</f>
        <v/>
      </c>
      <c r="S10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0" spans="1:19" hidden="1" outlineLevel="1" x14ac:dyDescent="0.25">
      <c r="A110" s="238">
        <v>240159</v>
      </c>
      <c r="B110" s="239" t="s">
        <v>860</v>
      </c>
      <c r="C110" s="352" t="str">
        <f>IF(Tableau3453[[#This Row],[Date 
du paiement]]="",IF(Tableau3453[[#This Row],[Jours]]&gt;Tableau3453[[#This Row],[Conditions
pmt+]]+5,"oui",""),"")</f>
        <v/>
      </c>
      <c r="D110" s="238" t="s">
        <v>900</v>
      </c>
      <c r="E110" s="240">
        <v>45343</v>
      </c>
      <c r="F110" s="241">
        <v>481.6</v>
      </c>
      <c r="G110" s="242" t="str">
        <f>IF(Tableau3453[[#This Row],[Date 
du paiement]]="",Tableau3453[[#This Row],[Montant
de la facture
CHF]],"")</f>
        <v/>
      </c>
      <c r="H110" s="243"/>
      <c r="I110" s="245">
        <v>45345</v>
      </c>
      <c r="J110" s="246">
        <v>45373</v>
      </c>
      <c r="K110" s="247" t="s">
        <v>58</v>
      </c>
      <c r="L110" s="248"/>
      <c r="M110" s="248">
        <f>IF(Tableau3453[[#This Row],[Date 
du paiement]]="",$D$4-Tableau3453[[#This Row],[Date
de la facture]],Tableau3453[[#This Row],[Date 
du paiement]]-Tableau3453[[#This Row],[Date
de la facture]])</f>
        <v>30</v>
      </c>
      <c r="N110" s="241" t="str">
        <f>IF(Tableau3453[[#This Row],[Date 
du paiement]]="",IF(Tableau3453[[#This Row],[Jours]]&lt;30,Tableau3453[[#This Row],[Montant
de la facture
CHF]],""),"")</f>
        <v/>
      </c>
      <c r="O110" s="241" t="str">
        <f>IF(Tableau3453[[#This Row],[Date 
du paiement]]="",IF(Tableau3453[[#This Row],[Jours]]&gt;30,IF(Tableau3453[[#This Row],[Jours]]&lt;60,Tableau3453[[#This Row],[Montant
de la facture
CHF]],""),""),"")</f>
        <v/>
      </c>
      <c r="P110" s="241" t="str">
        <f>IF(Tableau3453[[#This Row],[Date 
du paiement]]="",IF(Tableau3453[[#This Row],[Jours]]&gt;60,Tableau3453[[#This Row],[Montant
de la facture
CHF]],""),"")</f>
        <v/>
      </c>
      <c r="Q110" s="249"/>
      <c r="R110" s="250" t="str">
        <f>Tableau3453[[#This Row],[Solde 
ouverte
fm]]</f>
        <v/>
      </c>
      <c r="S1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1" spans="1:19" hidden="1" outlineLevel="1" x14ac:dyDescent="0.25">
      <c r="A111" s="238">
        <v>240167</v>
      </c>
      <c r="B111" s="239" t="s">
        <v>860</v>
      </c>
      <c r="C111" s="352" t="str">
        <f>IF(Tableau3453[[#This Row],[Date 
du paiement]]="",IF(Tableau3453[[#This Row],[Jours]]&gt;Tableau3453[[#This Row],[Conditions
pmt+]]+5,"oui",""),"")</f>
        <v/>
      </c>
      <c r="D111" s="238" t="s">
        <v>924</v>
      </c>
      <c r="E111" s="240">
        <v>45343</v>
      </c>
      <c r="F111" s="241">
        <v>681.05</v>
      </c>
      <c r="G111" s="242" t="str">
        <f>IF(Tableau3453[[#This Row],[Date 
du paiement]]="",Tableau3453[[#This Row],[Montant
de la facture
CHF]],"")</f>
        <v/>
      </c>
      <c r="H111" s="243"/>
      <c r="I111" s="245">
        <v>45345</v>
      </c>
      <c r="J111" s="246">
        <v>45355</v>
      </c>
      <c r="K111" s="247" t="s">
        <v>58</v>
      </c>
      <c r="L111" s="248"/>
      <c r="M111" s="248">
        <f>IF(Tableau3453[[#This Row],[Date 
du paiement]]="",$D$4-Tableau3453[[#This Row],[Date
de la facture]],Tableau3453[[#This Row],[Date 
du paiement]]-Tableau3453[[#This Row],[Date
de la facture]])</f>
        <v>12</v>
      </c>
      <c r="N111" s="241" t="str">
        <f>IF(Tableau3453[[#This Row],[Date 
du paiement]]="",IF(Tableau3453[[#This Row],[Jours]]&lt;30,Tableau3453[[#This Row],[Montant
de la facture
CHF]],""),"")</f>
        <v/>
      </c>
      <c r="O111" s="241" t="str">
        <f>IF(Tableau3453[[#This Row],[Date 
du paiement]]="",IF(Tableau3453[[#This Row],[Jours]]&gt;30,IF(Tableau3453[[#This Row],[Jours]]&lt;60,Tableau3453[[#This Row],[Montant
de la facture
CHF]],""),""),"")</f>
        <v/>
      </c>
      <c r="P111" s="241" t="str">
        <f>IF(Tableau3453[[#This Row],[Date 
du paiement]]="",IF(Tableau3453[[#This Row],[Jours]]&gt;60,Tableau3453[[#This Row],[Montant
de la facture
CHF]],""),"")</f>
        <v/>
      </c>
      <c r="Q111" s="249"/>
      <c r="R111" s="250" t="str">
        <f>Tableau3453[[#This Row],[Solde 
ouverte
fm]]</f>
        <v/>
      </c>
      <c r="S1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2" spans="1:19" hidden="1" outlineLevel="1" x14ac:dyDescent="0.25">
      <c r="A112" s="238">
        <v>240150</v>
      </c>
      <c r="B112" s="239" t="s">
        <v>860</v>
      </c>
      <c r="C112" s="352" t="str">
        <f>IF(Tableau3453[[#This Row],[Date 
du paiement]]="",IF(Tableau3453[[#This Row],[Jours]]&gt;Tableau3453[[#This Row],[Conditions
pmt+]]+5,"oui",""),"")</f>
        <v/>
      </c>
      <c r="D112" s="251" t="s">
        <v>885</v>
      </c>
      <c r="E112" s="240">
        <v>45343</v>
      </c>
      <c r="F112" s="241">
        <v>504.1</v>
      </c>
      <c r="G112" s="242" t="str">
        <f>IF(Tableau3453[[#This Row],[Date 
du paiement]]="",Tableau3453[[#This Row],[Montant
de la facture
CHF]],"")</f>
        <v/>
      </c>
      <c r="H112" s="243"/>
      <c r="I112" s="245">
        <v>45345</v>
      </c>
      <c r="J112" s="246">
        <v>45349</v>
      </c>
      <c r="K112" s="247" t="s">
        <v>58</v>
      </c>
      <c r="L112" s="248"/>
      <c r="M112" s="248">
        <f>IF(Tableau3453[[#This Row],[Date 
du paiement]]="",$D$4-Tableau3453[[#This Row],[Date
de la facture]],Tableau3453[[#This Row],[Date 
du paiement]]-Tableau3453[[#This Row],[Date
de la facture]])</f>
        <v>6</v>
      </c>
      <c r="N112" s="241" t="str">
        <f>IF(Tableau3453[[#This Row],[Date 
du paiement]]="",IF(Tableau3453[[#This Row],[Jours]]&lt;30,Tableau3453[[#This Row],[Montant
de la facture
CHF]],""),"")</f>
        <v/>
      </c>
      <c r="O112" s="241" t="str">
        <f>IF(Tableau3453[[#This Row],[Date 
du paiement]]="",IF(Tableau3453[[#This Row],[Jours]]&gt;30,IF(Tableau3453[[#This Row],[Jours]]&lt;60,Tableau3453[[#This Row],[Montant
de la facture
CHF]],""),""),"")</f>
        <v/>
      </c>
      <c r="P112" s="241" t="str">
        <f>IF(Tableau3453[[#This Row],[Date 
du paiement]]="",IF(Tableau3453[[#This Row],[Jours]]&gt;60,Tableau3453[[#This Row],[Montant
de la facture
CHF]],""),"")</f>
        <v/>
      </c>
      <c r="Q112" s="249"/>
      <c r="R112" s="250" t="str">
        <f>Tableau3453[[#This Row],[Solde 
ouverte
fm]]</f>
        <v/>
      </c>
      <c r="S11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3" spans="1:19" hidden="1" outlineLevel="1" x14ac:dyDescent="0.25">
      <c r="A113" s="238">
        <v>240183</v>
      </c>
      <c r="B113" s="239" t="s">
        <v>857</v>
      </c>
      <c r="C113" s="352" t="str">
        <f>IF(Tableau3453[[#This Row],[Date 
du paiement]]="",IF(Tableau3453[[#This Row],[Jours]]&gt;Tableau3453[[#This Row],[Conditions
pmt+]]+5,"oui",""),"")</f>
        <v/>
      </c>
      <c r="D113" s="238" t="s">
        <v>925</v>
      </c>
      <c r="E113" s="240">
        <v>45344</v>
      </c>
      <c r="F113" s="241">
        <v>1398.85</v>
      </c>
      <c r="G113" s="242" t="str">
        <f>IF(Tableau3453[[#This Row],[Date 
du paiement]]="",Tableau3453[[#This Row],[Montant
de la facture
CHF]],"")</f>
        <v/>
      </c>
      <c r="H113" s="243"/>
      <c r="I113" s="245">
        <v>45350</v>
      </c>
      <c r="J113" s="246">
        <v>45397</v>
      </c>
      <c r="K113" s="247" t="s">
        <v>58</v>
      </c>
      <c r="L113" s="248"/>
      <c r="M113" s="248">
        <f>IF(Tableau3453[[#This Row],[Date 
du paiement]]="",$D$4-Tableau3453[[#This Row],[Date
de la facture]],Tableau3453[[#This Row],[Date 
du paiement]]-Tableau3453[[#This Row],[Date
de la facture]])</f>
        <v>53</v>
      </c>
      <c r="N113" s="241" t="str">
        <f>IF(Tableau3453[[#This Row],[Date 
du paiement]]="",IF(Tableau3453[[#This Row],[Jours]]&lt;30,Tableau3453[[#This Row],[Montant
de la facture
CHF]],""),"")</f>
        <v/>
      </c>
      <c r="O113" s="241" t="str">
        <f>IF(Tableau3453[[#This Row],[Date 
du paiement]]="",IF(Tableau3453[[#This Row],[Jours]]&gt;30,IF(Tableau3453[[#This Row],[Jours]]&lt;60,Tableau3453[[#This Row],[Montant
de la facture
CHF]],""),""),"")</f>
        <v/>
      </c>
      <c r="P113" s="241" t="str">
        <f>IF(Tableau3453[[#This Row],[Date 
du paiement]]="",IF(Tableau3453[[#This Row],[Jours]]&gt;60,Tableau3453[[#This Row],[Montant
de la facture
CHF]],""),"")</f>
        <v/>
      </c>
      <c r="Q113" s="249"/>
      <c r="R113" s="250" t="str">
        <f>Tableau3453[[#This Row],[Solde 
ouverte
fm]]</f>
        <v/>
      </c>
      <c r="S1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4" spans="1:19" hidden="1" outlineLevel="1" x14ac:dyDescent="0.25">
      <c r="A114" s="238">
        <v>240173</v>
      </c>
      <c r="B114" s="239" t="s">
        <v>857</v>
      </c>
      <c r="C114" s="352" t="str">
        <f>IF(Tableau3453[[#This Row],[Date 
du paiement]]="",IF(Tableau3453[[#This Row],[Jours]]&gt;Tableau3453[[#This Row],[Conditions
pmt+]]+5,"oui",""),"")</f>
        <v/>
      </c>
      <c r="D114" s="238" t="s">
        <v>925</v>
      </c>
      <c r="E114" s="240">
        <v>45344</v>
      </c>
      <c r="F114" s="241">
        <v>72</v>
      </c>
      <c r="G114" s="242" t="str">
        <f>IF(Tableau3453[[#This Row],[Date 
du paiement]]="",Tableau3453[[#This Row],[Montant
de la facture
CHF]],"")</f>
        <v/>
      </c>
      <c r="H114" s="243"/>
      <c r="I114" s="245">
        <v>45350</v>
      </c>
      <c r="J114" s="246">
        <v>45397</v>
      </c>
      <c r="K114" s="247" t="s">
        <v>58</v>
      </c>
      <c r="L114" s="248"/>
      <c r="M114" s="248">
        <f>IF(Tableau3453[[#This Row],[Date 
du paiement]]="",$D$4-Tableau3453[[#This Row],[Date
de la facture]],Tableau3453[[#This Row],[Date 
du paiement]]-Tableau3453[[#This Row],[Date
de la facture]])</f>
        <v>53</v>
      </c>
      <c r="N114" s="241" t="str">
        <f>IF(Tableau3453[[#This Row],[Date 
du paiement]]="",IF(Tableau3453[[#This Row],[Jours]]&lt;30,Tableau3453[[#This Row],[Montant
de la facture
CHF]],""),"")</f>
        <v/>
      </c>
      <c r="O114" s="241" t="str">
        <f>IF(Tableau3453[[#This Row],[Date 
du paiement]]="",IF(Tableau3453[[#This Row],[Jours]]&gt;30,IF(Tableau3453[[#This Row],[Jours]]&lt;60,Tableau3453[[#This Row],[Montant
de la facture
CHF]],""),""),"")</f>
        <v/>
      </c>
      <c r="P114" s="241" t="str">
        <f>IF(Tableau3453[[#This Row],[Date 
du paiement]]="",IF(Tableau3453[[#This Row],[Jours]]&gt;60,Tableau3453[[#This Row],[Montant
de la facture
CHF]],""),"")</f>
        <v/>
      </c>
      <c r="Q114" s="249"/>
      <c r="R114" s="250" t="str">
        <f>Tableau3453[[#This Row],[Solde 
ouverte
fm]]</f>
        <v/>
      </c>
      <c r="S11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5" spans="1:19" hidden="1" outlineLevel="1" x14ac:dyDescent="0.25">
      <c r="A115" s="238">
        <v>240163</v>
      </c>
      <c r="B115" s="239" t="s">
        <v>860</v>
      </c>
      <c r="C115" s="352" t="str">
        <f>IF(Tableau3453[[#This Row],[Date 
du paiement]]="",IF(Tableau3453[[#This Row],[Jours]]&gt;Tableau3453[[#This Row],[Conditions
pmt+]]+5,"oui",""),"")</f>
        <v/>
      </c>
      <c r="D115" s="238" t="s">
        <v>900</v>
      </c>
      <c r="E115" s="240">
        <v>45344</v>
      </c>
      <c r="F115" s="241">
        <v>1469.1</v>
      </c>
      <c r="G115" s="242" t="str">
        <f>IF(Tableau3453[[#This Row],[Date 
du paiement]]="",Tableau3453[[#This Row],[Montant
de la facture
CHF]],"")</f>
        <v/>
      </c>
      <c r="H115" s="243"/>
      <c r="I115" s="245">
        <v>45345</v>
      </c>
      <c r="J115" s="246">
        <v>45379</v>
      </c>
      <c r="K115" s="247" t="s">
        <v>58</v>
      </c>
      <c r="L115" s="248"/>
      <c r="M115" s="248">
        <f>IF(Tableau3453[[#This Row],[Date 
du paiement]]="",$D$4-Tableau3453[[#This Row],[Date
de la facture]],Tableau3453[[#This Row],[Date 
du paiement]]-Tableau3453[[#This Row],[Date
de la facture]])</f>
        <v>35</v>
      </c>
      <c r="N115" s="241" t="str">
        <f>IF(Tableau3453[[#This Row],[Date 
du paiement]]="",IF(Tableau3453[[#This Row],[Jours]]&lt;30,Tableau3453[[#This Row],[Montant
de la facture
CHF]],""),"")</f>
        <v/>
      </c>
      <c r="O115" s="241" t="str">
        <f>IF(Tableau3453[[#This Row],[Date 
du paiement]]="",IF(Tableau3453[[#This Row],[Jours]]&gt;30,IF(Tableau3453[[#This Row],[Jours]]&lt;60,Tableau3453[[#This Row],[Montant
de la facture
CHF]],""),""),"")</f>
        <v/>
      </c>
      <c r="P115" s="241" t="str">
        <f>IF(Tableau3453[[#This Row],[Date 
du paiement]]="",IF(Tableau3453[[#This Row],[Jours]]&gt;60,Tableau3453[[#This Row],[Montant
de la facture
CHF]],""),"")</f>
        <v/>
      </c>
      <c r="Q115" s="249"/>
      <c r="R115" s="250" t="str">
        <f>Tableau3453[[#This Row],[Solde 
ouverte
fm]]</f>
        <v/>
      </c>
      <c r="S11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6" spans="1:19" hidden="1" outlineLevel="1" x14ac:dyDescent="0.25">
      <c r="A116" s="238">
        <v>240184</v>
      </c>
      <c r="B116" s="239" t="s">
        <v>860</v>
      </c>
      <c r="C116" s="352" t="str">
        <f>IF(Tableau3453[[#This Row],[Date 
du paiement]]="",IF(Tableau3453[[#This Row],[Jours]]&gt;Tableau3453[[#This Row],[Conditions
pmt+]]+5,"oui",""),"")</f>
        <v/>
      </c>
      <c r="D116" s="238" t="s">
        <v>899</v>
      </c>
      <c r="E116" s="240">
        <v>45344</v>
      </c>
      <c r="F116" s="241">
        <v>1705.45</v>
      </c>
      <c r="G116" s="242" t="str">
        <f>IF(Tableau3453[[#This Row],[Date 
du paiement]]="",Tableau3453[[#This Row],[Montant
de la facture
CHF]],"")</f>
        <v/>
      </c>
      <c r="H116" s="243"/>
      <c r="I116" s="245">
        <v>45350</v>
      </c>
      <c r="J116" s="246">
        <v>45379</v>
      </c>
      <c r="K116" s="247" t="s">
        <v>58</v>
      </c>
      <c r="L116" s="248"/>
      <c r="M116" s="248">
        <f>IF(Tableau3453[[#This Row],[Date 
du paiement]]="",$D$4-Tableau3453[[#This Row],[Date
de la facture]],Tableau3453[[#This Row],[Date 
du paiement]]-Tableau3453[[#This Row],[Date
de la facture]])</f>
        <v>35</v>
      </c>
      <c r="N116" s="241" t="str">
        <f>IF(Tableau3453[[#This Row],[Date 
du paiement]]="",IF(Tableau3453[[#This Row],[Jours]]&lt;30,Tableau3453[[#This Row],[Montant
de la facture
CHF]],""),"")</f>
        <v/>
      </c>
      <c r="O116" s="241" t="str">
        <f>IF(Tableau3453[[#This Row],[Date 
du paiement]]="",IF(Tableau3453[[#This Row],[Jours]]&gt;30,IF(Tableau3453[[#This Row],[Jours]]&lt;60,Tableau3453[[#This Row],[Montant
de la facture
CHF]],""),""),"")</f>
        <v/>
      </c>
      <c r="P116" s="241" t="str">
        <f>IF(Tableau3453[[#This Row],[Date 
du paiement]]="",IF(Tableau3453[[#This Row],[Jours]]&gt;60,Tableau3453[[#This Row],[Montant
de la facture
CHF]],""),"")</f>
        <v/>
      </c>
      <c r="Q116" s="249"/>
      <c r="R116" s="250" t="str">
        <f>Tableau3453[[#This Row],[Solde 
ouverte
fm]]</f>
        <v/>
      </c>
      <c r="S11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7" spans="1:19" hidden="1" outlineLevel="1" x14ac:dyDescent="0.25">
      <c r="A117" s="238">
        <v>240157</v>
      </c>
      <c r="B117" s="239" t="s">
        <v>860</v>
      </c>
      <c r="C117" s="352" t="str">
        <f>IF(Tableau3453[[#This Row],[Date 
du paiement]]="",IF(Tableau3453[[#This Row],[Jours]]&gt;Tableau3453[[#This Row],[Conditions
pmt+]]+5,"oui",""),"")</f>
        <v/>
      </c>
      <c r="D117" s="238" t="s">
        <v>873</v>
      </c>
      <c r="E117" s="240">
        <v>45344</v>
      </c>
      <c r="F117" s="241">
        <v>5343.2</v>
      </c>
      <c r="G117" s="242" t="str">
        <f>IF(Tableau3453[[#This Row],[Date 
du paiement]]="",Tableau3453[[#This Row],[Montant
de la facture
CHF]],"")</f>
        <v/>
      </c>
      <c r="H117" s="243"/>
      <c r="I117" s="245">
        <v>45350</v>
      </c>
      <c r="J117" s="246">
        <v>45370</v>
      </c>
      <c r="K117" s="247" t="s">
        <v>58</v>
      </c>
      <c r="L117" s="248"/>
      <c r="M117" s="248">
        <f>IF(Tableau3453[[#This Row],[Date 
du paiement]]="",$D$4-Tableau3453[[#This Row],[Date
de la facture]],Tableau3453[[#This Row],[Date 
du paiement]]-Tableau3453[[#This Row],[Date
de la facture]])</f>
        <v>26</v>
      </c>
      <c r="N117" s="241" t="str">
        <f>IF(Tableau3453[[#This Row],[Date 
du paiement]]="",IF(Tableau3453[[#This Row],[Jours]]&lt;30,Tableau3453[[#This Row],[Montant
de la facture
CHF]],""),"")</f>
        <v/>
      </c>
      <c r="O117" s="241" t="str">
        <f>IF(Tableau3453[[#This Row],[Date 
du paiement]]="",IF(Tableau3453[[#This Row],[Jours]]&gt;30,IF(Tableau3453[[#This Row],[Jours]]&lt;60,Tableau3453[[#This Row],[Montant
de la facture
CHF]],""),""),"")</f>
        <v/>
      </c>
      <c r="P117" s="241" t="str">
        <f>IF(Tableau3453[[#This Row],[Date 
du paiement]]="",IF(Tableau3453[[#This Row],[Jours]]&gt;60,Tableau3453[[#This Row],[Montant
de la facture
CHF]],""),"")</f>
        <v/>
      </c>
      <c r="Q117" s="249"/>
      <c r="R117" s="250" t="str">
        <f>Tableau3453[[#This Row],[Solde 
ouverte
fm]]</f>
        <v/>
      </c>
      <c r="S11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8" spans="1:19" hidden="1" outlineLevel="1" x14ac:dyDescent="0.25">
      <c r="A118" s="238">
        <v>240166</v>
      </c>
      <c r="B118" s="239" t="s">
        <v>860</v>
      </c>
      <c r="C118" s="352" t="str">
        <f>IF(Tableau3453[[#This Row],[Date 
du paiement]]="",IF(Tableau3453[[#This Row],[Jours]]&gt;Tableau3453[[#This Row],[Conditions
pmt+]]+5,"oui",""),"")</f>
        <v/>
      </c>
      <c r="D118" s="238" t="s">
        <v>880</v>
      </c>
      <c r="E118" s="240">
        <v>45344</v>
      </c>
      <c r="F118" s="241">
        <v>847.3</v>
      </c>
      <c r="G118" s="242" t="str">
        <f>IF(Tableau3453[[#This Row],[Date 
du paiement]]="",Tableau3453[[#This Row],[Montant
de la facture
CHF]],"")</f>
        <v/>
      </c>
      <c r="H118" s="243"/>
      <c r="I118" s="245">
        <v>45350</v>
      </c>
      <c r="J118" s="246">
        <v>45370</v>
      </c>
      <c r="K118" s="247" t="s">
        <v>58</v>
      </c>
      <c r="L118" s="248"/>
      <c r="M118" s="248">
        <f>IF(Tableau3453[[#This Row],[Date 
du paiement]]="",$D$4-Tableau3453[[#This Row],[Date
de la facture]],Tableau3453[[#This Row],[Date 
du paiement]]-Tableau3453[[#This Row],[Date
de la facture]])</f>
        <v>26</v>
      </c>
      <c r="N118" s="241" t="str">
        <f>IF(Tableau3453[[#This Row],[Date 
du paiement]]="",IF(Tableau3453[[#This Row],[Jours]]&lt;30,Tableau3453[[#This Row],[Montant
de la facture
CHF]],""),"")</f>
        <v/>
      </c>
      <c r="O118" s="241" t="str">
        <f>IF(Tableau3453[[#This Row],[Date 
du paiement]]="",IF(Tableau3453[[#This Row],[Jours]]&gt;30,IF(Tableau3453[[#This Row],[Jours]]&lt;60,Tableau3453[[#This Row],[Montant
de la facture
CHF]],""),""),"")</f>
        <v/>
      </c>
      <c r="P118" s="241" t="str">
        <f>IF(Tableau3453[[#This Row],[Date 
du paiement]]="",IF(Tableau3453[[#This Row],[Jours]]&gt;60,Tableau3453[[#This Row],[Montant
de la facture
CHF]],""),"")</f>
        <v/>
      </c>
      <c r="Q118" s="249"/>
      <c r="R118" s="250" t="str">
        <f>Tableau3453[[#This Row],[Solde 
ouverte
fm]]</f>
        <v/>
      </c>
      <c r="S1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19" spans="1:19" hidden="1" outlineLevel="1" x14ac:dyDescent="0.25">
      <c r="A119" s="238">
        <v>240151</v>
      </c>
      <c r="B119" s="239" t="s">
        <v>860</v>
      </c>
      <c r="C119" s="352" t="str">
        <f>IF(Tableau3453[[#This Row],[Date 
du paiement]]="",IF(Tableau3453[[#This Row],[Jours]]&gt;Tableau3453[[#This Row],[Conditions
pmt+]]+5,"oui",""),"")</f>
        <v/>
      </c>
      <c r="D119" s="238" t="s">
        <v>899</v>
      </c>
      <c r="E119" s="240">
        <v>45345</v>
      </c>
      <c r="F119" s="241">
        <v>1867.9</v>
      </c>
      <c r="G119" s="242" t="str">
        <f>IF(Tableau3453[[#This Row],[Date 
du paiement]]="",Tableau3453[[#This Row],[Montant
de la facture
CHF]],"")</f>
        <v/>
      </c>
      <c r="H119" s="243" t="s">
        <v>926</v>
      </c>
      <c r="I119" s="245">
        <v>45345</v>
      </c>
      <c r="J119" s="246">
        <v>45397</v>
      </c>
      <c r="K119" s="247" t="s">
        <v>58</v>
      </c>
      <c r="L119" s="248">
        <v>1</v>
      </c>
      <c r="M119" s="248">
        <f>IF(Tableau3453[[#This Row],[Date 
du paiement]]="",$D$4-Tableau3453[[#This Row],[Date
de la facture]],Tableau3453[[#This Row],[Date 
du paiement]]-Tableau3453[[#This Row],[Date
de la facture]])</f>
        <v>52</v>
      </c>
      <c r="N119" s="241" t="str">
        <f>IF(Tableau3453[[#This Row],[Date 
du paiement]]="",IF(Tableau3453[[#This Row],[Jours]]&lt;30,Tableau3453[[#This Row],[Montant
de la facture
CHF]],""),"")</f>
        <v/>
      </c>
      <c r="O119" s="241" t="str">
        <f>IF(Tableau3453[[#This Row],[Date 
du paiement]]="",IF(Tableau3453[[#This Row],[Jours]]&gt;30,IF(Tableau3453[[#This Row],[Jours]]&lt;60,Tableau3453[[#This Row],[Montant
de la facture
CHF]],""),""),"")</f>
        <v/>
      </c>
      <c r="P119" s="241" t="str">
        <f>IF(Tableau3453[[#This Row],[Date 
du paiement]]="",IF(Tableau3453[[#This Row],[Jours]]&gt;60,Tableau3453[[#This Row],[Montant
de la facture
CHF]],""),"")</f>
        <v/>
      </c>
      <c r="Q119" s="249"/>
      <c r="R119" s="250" t="str">
        <f>Tableau3453[[#This Row],[Solde 
ouverte
fm]]</f>
        <v/>
      </c>
      <c r="S1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0" spans="1:19" hidden="1" outlineLevel="1" x14ac:dyDescent="0.25">
      <c r="A120" s="238">
        <v>240170</v>
      </c>
      <c r="B120" s="239" t="s">
        <v>860</v>
      </c>
      <c r="C120" s="352" t="str">
        <f>IF(Tableau3453[[#This Row],[Date 
du paiement]]="",IF(Tableau3453[[#This Row],[Jours]]&gt;Tableau3453[[#This Row],[Conditions
pmt+]]+5,"oui",""),"")</f>
        <v/>
      </c>
      <c r="D120" s="238" t="s">
        <v>927</v>
      </c>
      <c r="E120" s="240">
        <v>45345</v>
      </c>
      <c r="F120" s="241">
        <v>601.04999999999995</v>
      </c>
      <c r="G120" s="242" t="str">
        <f>IF(Tableau3453[[#This Row],[Date 
du paiement]]="",Tableau3453[[#This Row],[Montant
de la facture
CHF]],"")</f>
        <v/>
      </c>
      <c r="H120" s="243"/>
      <c r="I120" s="245">
        <v>45350</v>
      </c>
      <c r="J120" s="246">
        <v>45372</v>
      </c>
      <c r="K120" s="247" t="s">
        <v>58</v>
      </c>
      <c r="L120" s="248"/>
      <c r="M120" s="248">
        <f>IF(Tableau3453[[#This Row],[Date 
du paiement]]="",$D$4-Tableau3453[[#This Row],[Date
de la facture]],Tableau3453[[#This Row],[Date 
du paiement]]-Tableau3453[[#This Row],[Date
de la facture]])</f>
        <v>27</v>
      </c>
      <c r="N120" s="241" t="str">
        <f>IF(Tableau3453[[#This Row],[Date 
du paiement]]="",IF(Tableau3453[[#This Row],[Jours]]&lt;30,Tableau3453[[#This Row],[Montant
de la facture
CHF]],""),"")</f>
        <v/>
      </c>
      <c r="O120" s="241" t="str">
        <f>IF(Tableau3453[[#This Row],[Date 
du paiement]]="",IF(Tableau3453[[#This Row],[Jours]]&gt;30,IF(Tableau3453[[#This Row],[Jours]]&lt;60,Tableau3453[[#This Row],[Montant
de la facture
CHF]],""),""),"")</f>
        <v/>
      </c>
      <c r="P120" s="241" t="str">
        <f>IF(Tableau3453[[#This Row],[Date 
du paiement]]="",IF(Tableau3453[[#This Row],[Jours]]&gt;60,Tableau3453[[#This Row],[Montant
de la facture
CHF]],""),"")</f>
        <v/>
      </c>
      <c r="Q120" s="249"/>
      <c r="R120" s="250" t="str">
        <f>Tableau3453[[#This Row],[Solde 
ouverte
fm]]</f>
        <v/>
      </c>
      <c r="S12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1" spans="1:19" hidden="1" outlineLevel="1" x14ac:dyDescent="0.25">
      <c r="A121" s="238">
        <v>240162</v>
      </c>
      <c r="B121" s="239" t="s">
        <v>860</v>
      </c>
      <c r="C121" s="352" t="str">
        <f>IF(Tableau3453[[#This Row],[Date 
du paiement]]="",IF(Tableau3453[[#This Row],[Jours]]&gt;Tableau3453[[#This Row],[Conditions
pmt+]]+5,"oui",""),"")</f>
        <v/>
      </c>
      <c r="D121" s="238" t="s">
        <v>928</v>
      </c>
      <c r="E121" s="240">
        <v>45345</v>
      </c>
      <c r="F121" s="241">
        <v>2063.0500000000002</v>
      </c>
      <c r="G121" s="242" t="str">
        <f>IF(Tableau3453[[#This Row],[Date 
du paiement]]="",Tableau3453[[#This Row],[Montant
de la facture
CHF]],"")</f>
        <v/>
      </c>
      <c r="H121" s="243"/>
      <c r="I121" s="245">
        <v>45350</v>
      </c>
      <c r="J121" s="246">
        <v>45371</v>
      </c>
      <c r="K121" s="247" t="s">
        <v>58</v>
      </c>
      <c r="L121" s="248"/>
      <c r="M121" s="248">
        <f>IF(Tableau3453[[#This Row],[Date 
du paiement]]="",$D$4-Tableau3453[[#This Row],[Date
de la facture]],Tableau3453[[#This Row],[Date 
du paiement]]-Tableau3453[[#This Row],[Date
de la facture]])</f>
        <v>26</v>
      </c>
      <c r="N121" s="241" t="str">
        <f>IF(Tableau3453[[#This Row],[Date 
du paiement]]="",IF(Tableau3453[[#This Row],[Jours]]&lt;30,Tableau3453[[#This Row],[Montant
de la facture
CHF]],""),"")</f>
        <v/>
      </c>
      <c r="O121" s="241" t="str">
        <f>IF(Tableau3453[[#This Row],[Date 
du paiement]]="",IF(Tableau3453[[#This Row],[Jours]]&gt;30,IF(Tableau3453[[#This Row],[Jours]]&lt;60,Tableau3453[[#This Row],[Montant
de la facture
CHF]],""),""),"")</f>
        <v/>
      </c>
      <c r="P121" s="241" t="str">
        <f>IF(Tableau3453[[#This Row],[Date 
du paiement]]="",IF(Tableau3453[[#This Row],[Jours]]&gt;60,Tableau3453[[#This Row],[Montant
de la facture
CHF]],""),"")</f>
        <v/>
      </c>
      <c r="Q121" s="249"/>
      <c r="R121" s="250" t="str">
        <f>Tableau3453[[#This Row],[Solde 
ouverte
fm]]</f>
        <v/>
      </c>
      <c r="S1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2" spans="1:19" hidden="1" outlineLevel="1" x14ac:dyDescent="0.25">
      <c r="A122" s="238">
        <v>230828</v>
      </c>
      <c r="B122" s="239" t="s">
        <v>857</v>
      </c>
      <c r="C122" s="352" t="str">
        <f>IF(Tableau3453[[#This Row],[Date 
du paiement]]="",IF(Tableau3453[[#This Row],[Jours]]&gt;Tableau3453[[#This Row],[Conditions
pmt+]]+5,"oui",""),"")</f>
        <v/>
      </c>
      <c r="D122" s="251" t="s">
        <v>869</v>
      </c>
      <c r="E122" s="240">
        <v>45345</v>
      </c>
      <c r="F122" s="241">
        <v>9504.2999999999993</v>
      </c>
      <c r="G122" s="242" t="str">
        <f>IF(Tableau3453[[#This Row],[Date 
du paiement]]="",Tableau3453[[#This Row],[Montant
de la facture
CHF]],"")</f>
        <v/>
      </c>
      <c r="H122" s="243"/>
      <c r="I122" s="245">
        <v>45350</v>
      </c>
      <c r="J122" s="246">
        <v>45369</v>
      </c>
      <c r="K122" s="247" t="s">
        <v>58</v>
      </c>
      <c r="L122" s="248"/>
      <c r="M122" s="248">
        <f>IF(Tableau3453[[#This Row],[Date 
du paiement]]="",$D$4-Tableau3453[[#This Row],[Date
de la facture]],Tableau3453[[#This Row],[Date 
du paiement]]-Tableau3453[[#This Row],[Date
de la facture]])</f>
        <v>24</v>
      </c>
      <c r="N122" s="241" t="str">
        <f>IF(Tableau3453[[#This Row],[Date 
du paiement]]="",IF(Tableau3453[[#This Row],[Jours]]&lt;30,Tableau3453[[#This Row],[Montant
de la facture
CHF]],""),"")</f>
        <v/>
      </c>
      <c r="O122" s="241" t="str">
        <f>IF(Tableau3453[[#This Row],[Date 
du paiement]]="",IF(Tableau3453[[#This Row],[Jours]]&gt;30,IF(Tableau3453[[#This Row],[Jours]]&lt;60,Tableau3453[[#This Row],[Montant
de la facture
CHF]],""),""),"")</f>
        <v/>
      </c>
      <c r="P122" s="241" t="str">
        <f>IF(Tableau3453[[#This Row],[Date 
du paiement]]="",IF(Tableau3453[[#This Row],[Jours]]&gt;60,Tableau3453[[#This Row],[Montant
de la facture
CHF]],""),"")</f>
        <v/>
      </c>
      <c r="Q122" s="249"/>
      <c r="R122" s="250" t="str">
        <f>Tableau3453[[#This Row],[Solde 
ouverte
fm]]</f>
        <v/>
      </c>
      <c r="S1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3" spans="1:19" hidden="1" outlineLevel="1" x14ac:dyDescent="0.25">
      <c r="A123" s="238">
        <v>240172</v>
      </c>
      <c r="B123" s="239" t="s">
        <v>860</v>
      </c>
      <c r="C123" s="352" t="str">
        <f>IF(Tableau3453[[#This Row],[Date 
du paiement]]="",IF(Tableau3453[[#This Row],[Jours]]&gt;Tableau3453[[#This Row],[Conditions
pmt+]]+5,"oui",""),"")</f>
        <v/>
      </c>
      <c r="D123" s="238" t="s">
        <v>929</v>
      </c>
      <c r="E123" s="240">
        <v>45345</v>
      </c>
      <c r="F123" s="241">
        <v>667.5</v>
      </c>
      <c r="G123" s="242" t="str">
        <f>IF(Tableau3453[[#This Row],[Date 
du paiement]]="",Tableau3453[[#This Row],[Montant
de la facture
CHF]],"")</f>
        <v/>
      </c>
      <c r="H123" s="243"/>
      <c r="I123" s="245">
        <v>45345</v>
      </c>
      <c r="J123" s="246">
        <v>45350</v>
      </c>
      <c r="K123" s="247" t="s">
        <v>58</v>
      </c>
      <c r="L123" s="248"/>
      <c r="M123" s="248">
        <f>IF(Tableau3453[[#This Row],[Date 
du paiement]]="",$D$4-Tableau3453[[#This Row],[Date
de la facture]],Tableau3453[[#This Row],[Date 
du paiement]]-Tableau3453[[#This Row],[Date
de la facture]])</f>
        <v>5</v>
      </c>
      <c r="N123" s="241" t="str">
        <f>IF(Tableau3453[[#This Row],[Date 
du paiement]]="",IF(Tableau3453[[#This Row],[Jours]]&lt;30,Tableau3453[[#This Row],[Montant
de la facture
CHF]],""),"")</f>
        <v/>
      </c>
      <c r="O123" s="241" t="str">
        <f>IF(Tableau3453[[#This Row],[Date 
du paiement]]="",IF(Tableau3453[[#This Row],[Jours]]&gt;30,IF(Tableau3453[[#This Row],[Jours]]&lt;60,Tableau3453[[#This Row],[Montant
de la facture
CHF]],""),""),"")</f>
        <v/>
      </c>
      <c r="P123" s="241" t="str">
        <f>IF(Tableau3453[[#This Row],[Date 
du paiement]]="",IF(Tableau3453[[#This Row],[Jours]]&gt;60,Tableau3453[[#This Row],[Montant
de la facture
CHF]],""),"")</f>
        <v/>
      </c>
      <c r="Q123" s="249"/>
      <c r="R123" s="250" t="str">
        <f>Tableau3453[[#This Row],[Solde 
ouverte
fm]]</f>
        <v/>
      </c>
      <c r="S1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4" spans="1:19" hidden="1" outlineLevel="1" x14ac:dyDescent="0.25">
      <c r="A124" s="238">
        <v>240189</v>
      </c>
      <c r="B124" s="239" t="s">
        <v>860</v>
      </c>
      <c r="C124" s="352" t="str">
        <f>IF(Tableau3453[[#This Row],[Date 
du paiement]]="",IF(Tableau3453[[#This Row],[Jours]]&gt;Tableau3453[[#This Row],[Conditions
pmt+]]+5,"oui",""),"")</f>
        <v/>
      </c>
      <c r="D124" s="238" t="s">
        <v>887</v>
      </c>
      <c r="E124" s="240">
        <v>45349</v>
      </c>
      <c r="F124" s="241">
        <v>1080.6500000000001</v>
      </c>
      <c r="G124" s="242" t="str">
        <f>IF(Tableau3453[[#This Row],[Date 
du paiement]]="",Tableau3453[[#This Row],[Montant
de la facture
CHF]],"")</f>
        <v/>
      </c>
      <c r="H124" s="243" t="s">
        <v>930</v>
      </c>
      <c r="I124" s="245">
        <v>45350</v>
      </c>
      <c r="J124" s="246">
        <v>45394</v>
      </c>
      <c r="K124" s="247" t="s">
        <v>58</v>
      </c>
      <c r="L124" s="248">
        <v>1</v>
      </c>
      <c r="M124" s="248">
        <f>IF(Tableau3453[[#This Row],[Date 
du paiement]]="",$D$4-Tableau3453[[#This Row],[Date
de la facture]],Tableau3453[[#This Row],[Date 
du paiement]]-Tableau3453[[#This Row],[Date
de la facture]])</f>
        <v>45</v>
      </c>
      <c r="N124" s="241" t="str">
        <f>IF(Tableau3453[[#This Row],[Date 
du paiement]]="",IF(Tableau3453[[#This Row],[Jours]]&lt;30,Tableau3453[[#This Row],[Montant
de la facture
CHF]],""),"")</f>
        <v/>
      </c>
      <c r="O124" s="241" t="str">
        <f>IF(Tableau3453[[#This Row],[Date 
du paiement]]="",IF(Tableau3453[[#This Row],[Jours]]&gt;30,IF(Tableau3453[[#This Row],[Jours]]&lt;60,Tableau3453[[#This Row],[Montant
de la facture
CHF]],""),""),"")</f>
        <v/>
      </c>
      <c r="P124" s="241" t="str">
        <f>IF(Tableau3453[[#This Row],[Date 
du paiement]]="",IF(Tableau3453[[#This Row],[Jours]]&gt;60,Tableau3453[[#This Row],[Montant
de la facture
CHF]],""),"")</f>
        <v/>
      </c>
      <c r="Q124" s="249"/>
      <c r="R124" s="250" t="str">
        <f>Tableau3453[[#This Row],[Solde 
ouverte
fm]]</f>
        <v/>
      </c>
      <c r="S1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5" spans="1:19" hidden="1" outlineLevel="1" x14ac:dyDescent="0.25">
      <c r="A125" s="238">
        <v>230680</v>
      </c>
      <c r="B125" s="239" t="s">
        <v>860</v>
      </c>
      <c r="C125" s="352" t="str">
        <f>IF(Tableau3453[[#This Row],[Date 
du paiement]]="",IF(Tableau3453[[#This Row],[Jours]]&gt;Tableau3453[[#This Row],[Conditions
pmt+]]+5,"oui",""),"")</f>
        <v/>
      </c>
      <c r="D125" s="238" t="s">
        <v>931</v>
      </c>
      <c r="E125" s="240">
        <v>45349</v>
      </c>
      <c r="F125" s="241">
        <v>562.75</v>
      </c>
      <c r="G125" s="242" t="str">
        <f>IF(Tableau3453[[#This Row],[Date 
du paiement]]="",Tableau3453[[#This Row],[Montant
de la facture
CHF]],"")</f>
        <v/>
      </c>
      <c r="H125" s="243"/>
      <c r="I125" s="245">
        <v>45355</v>
      </c>
      <c r="J125" s="246">
        <v>45384</v>
      </c>
      <c r="K125" s="247" t="s">
        <v>58</v>
      </c>
      <c r="L125" s="248"/>
      <c r="M125" s="248">
        <f>IF(Tableau3453[[#This Row],[Date 
du paiement]]="",$D$4-Tableau3453[[#This Row],[Date
de la facture]],Tableau3453[[#This Row],[Date 
du paiement]]-Tableau3453[[#This Row],[Date
de la facture]])</f>
        <v>35</v>
      </c>
      <c r="N125" s="241" t="str">
        <f>IF(Tableau3453[[#This Row],[Date 
du paiement]]="",IF(Tableau3453[[#This Row],[Jours]]&lt;30,Tableau3453[[#This Row],[Montant
de la facture
CHF]],""),"")</f>
        <v/>
      </c>
      <c r="O125" s="241" t="str">
        <f>IF(Tableau3453[[#This Row],[Date 
du paiement]]="",IF(Tableau3453[[#This Row],[Jours]]&gt;30,IF(Tableau3453[[#This Row],[Jours]]&lt;60,Tableau3453[[#This Row],[Montant
de la facture
CHF]],""),""),"")</f>
        <v/>
      </c>
      <c r="P125" s="241" t="str">
        <f>IF(Tableau3453[[#This Row],[Date 
du paiement]]="",IF(Tableau3453[[#This Row],[Jours]]&gt;60,Tableau3453[[#This Row],[Montant
de la facture
CHF]],""),"")</f>
        <v/>
      </c>
      <c r="Q125" s="249"/>
      <c r="R125" s="250" t="str">
        <f>Tableau3453[[#This Row],[Solde 
ouverte
fm]]</f>
        <v/>
      </c>
      <c r="S12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6" spans="1:19" hidden="1" outlineLevel="1" x14ac:dyDescent="0.25">
      <c r="A126" s="238">
        <v>240196</v>
      </c>
      <c r="B126" s="239" t="s">
        <v>860</v>
      </c>
      <c r="C126" s="352" t="str">
        <f>IF(Tableau3453[[#This Row],[Date 
du paiement]]="",IF(Tableau3453[[#This Row],[Jours]]&gt;Tableau3453[[#This Row],[Conditions
pmt+]]+5,"oui",""),"")</f>
        <v/>
      </c>
      <c r="D126" s="238" t="s">
        <v>898</v>
      </c>
      <c r="E126" s="240">
        <v>45349</v>
      </c>
      <c r="F126" s="241">
        <v>448.4</v>
      </c>
      <c r="G126" s="242" t="str">
        <f>IF(Tableau3453[[#This Row],[Date 
du paiement]]="",Tableau3453[[#This Row],[Montant
de la facture
CHF]],"")</f>
        <v/>
      </c>
      <c r="H126" s="243"/>
      <c r="I126" s="245">
        <v>45350</v>
      </c>
      <c r="J126" s="246">
        <v>45384</v>
      </c>
      <c r="K126" s="247" t="s">
        <v>58</v>
      </c>
      <c r="L126" s="248"/>
      <c r="M126" s="248">
        <f>IF(Tableau3453[[#This Row],[Date 
du paiement]]="",$D$4-Tableau3453[[#This Row],[Date
de la facture]],Tableau3453[[#This Row],[Date 
du paiement]]-Tableau3453[[#This Row],[Date
de la facture]])</f>
        <v>35</v>
      </c>
      <c r="N126" s="241" t="str">
        <f>IF(Tableau3453[[#This Row],[Date 
du paiement]]="",IF(Tableau3453[[#This Row],[Jours]]&lt;30,Tableau3453[[#This Row],[Montant
de la facture
CHF]],""),"")</f>
        <v/>
      </c>
      <c r="O126" s="241" t="str">
        <f>IF(Tableau3453[[#This Row],[Date 
du paiement]]="",IF(Tableau3453[[#This Row],[Jours]]&gt;30,IF(Tableau3453[[#This Row],[Jours]]&lt;60,Tableau3453[[#This Row],[Montant
de la facture
CHF]],""),""),"")</f>
        <v/>
      </c>
      <c r="P126" s="241" t="str">
        <f>IF(Tableau3453[[#This Row],[Date 
du paiement]]="",IF(Tableau3453[[#This Row],[Jours]]&gt;60,Tableau3453[[#This Row],[Montant
de la facture
CHF]],""),"")</f>
        <v/>
      </c>
      <c r="Q126" s="249"/>
      <c r="R126" s="250" t="str">
        <f>Tableau3453[[#This Row],[Solde 
ouverte
fm]]</f>
        <v/>
      </c>
      <c r="S1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7" spans="1:19" hidden="1" outlineLevel="1" x14ac:dyDescent="0.25">
      <c r="A127" s="238">
        <v>240154</v>
      </c>
      <c r="B127" s="239" t="s">
        <v>860</v>
      </c>
      <c r="C127" s="352" t="str">
        <f>IF(Tableau3453[[#This Row],[Date 
du paiement]]="",IF(Tableau3453[[#This Row],[Jours]]&gt;Tableau3453[[#This Row],[Conditions
pmt+]]+5,"oui",""),"")</f>
        <v/>
      </c>
      <c r="D127" s="262" t="s">
        <v>1026</v>
      </c>
      <c r="E127" s="240">
        <v>45349</v>
      </c>
      <c r="F127" s="241">
        <v>1798.8</v>
      </c>
      <c r="G127" s="242" t="str">
        <f>IF(Tableau3453[[#This Row],[Date 
du paiement]]="",Tableau3453[[#This Row],[Montant
de la facture
CHF]],"")</f>
        <v/>
      </c>
      <c r="H127" s="243"/>
      <c r="I127" s="245">
        <v>45350</v>
      </c>
      <c r="J127" s="246">
        <v>45373</v>
      </c>
      <c r="K127" s="247" t="s">
        <v>58</v>
      </c>
      <c r="L127" s="248"/>
      <c r="M127" s="248">
        <f>IF(Tableau3453[[#This Row],[Date 
du paiement]]="",$D$4-Tableau3453[[#This Row],[Date
de la facture]],Tableau3453[[#This Row],[Date 
du paiement]]-Tableau3453[[#This Row],[Date
de la facture]])</f>
        <v>24</v>
      </c>
      <c r="N127" s="241" t="str">
        <f>IF(Tableau3453[[#This Row],[Date 
du paiement]]="",IF(Tableau3453[[#This Row],[Jours]]&lt;30,Tableau3453[[#This Row],[Montant
de la facture
CHF]],""),"")</f>
        <v/>
      </c>
      <c r="O127" s="241" t="str">
        <f>IF(Tableau3453[[#This Row],[Date 
du paiement]]="",IF(Tableau3453[[#This Row],[Jours]]&gt;30,IF(Tableau3453[[#This Row],[Jours]]&lt;60,Tableau3453[[#This Row],[Montant
de la facture
CHF]],""),""),"")</f>
        <v/>
      </c>
      <c r="P127" s="241" t="str">
        <f>IF(Tableau3453[[#This Row],[Date 
du paiement]]="",IF(Tableau3453[[#This Row],[Jours]]&gt;60,Tableau3453[[#This Row],[Montant
de la facture
CHF]],""),"")</f>
        <v/>
      </c>
      <c r="Q127" s="249"/>
      <c r="R127" s="250" t="str">
        <f>Tableau3453[[#This Row],[Solde 
ouverte
fm]]</f>
        <v/>
      </c>
      <c r="S1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8" spans="1:19" hidden="1" outlineLevel="1" x14ac:dyDescent="0.25">
      <c r="A128" s="238">
        <v>240194</v>
      </c>
      <c r="B128" s="239" t="s">
        <v>860</v>
      </c>
      <c r="C128" s="352" t="str">
        <f>IF(Tableau3453[[#This Row],[Date 
du paiement]]="",IF(Tableau3453[[#This Row],[Jours]]&gt;Tableau3453[[#This Row],[Conditions
pmt+]]+5,"oui",""),"")</f>
        <v/>
      </c>
      <c r="D128" s="262" t="s">
        <v>1026</v>
      </c>
      <c r="E128" s="240">
        <v>45349</v>
      </c>
      <c r="F128" s="241">
        <v>1990</v>
      </c>
      <c r="G128" s="242" t="str">
        <f>IF(Tableau3453[[#This Row],[Date 
du paiement]]="",Tableau3453[[#This Row],[Montant
de la facture
CHF]],"")</f>
        <v/>
      </c>
      <c r="H128" s="243"/>
      <c r="I128" s="245">
        <v>45350</v>
      </c>
      <c r="J128" s="246">
        <v>45366</v>
      </c>
      <c r="K128" s="247" t="s">
        <v>58</v>
      </c>
      <c r="L128" s="248"/>
      <c r="M128" s="248">
        <f>IF(Tableau3453[[#This Row],[Date 
du paiement]]="",$D$4-Tableau3453[[#This Row],[Date
de la facture]],Tableau3453[[#This Row],[Date 
du paiement]]-Tableau3453[[#This Row],[Date
de la facture]])</f>
        <v>17</v>
      </c>
      <c r="N128" s="241" t="str">
        <f>IF(Tableau3453[[#This Row],[Date 
du paiement]]="",IF(Tableau3453[[#This Row],[Jours]]&lt;30,Tableau3453[[#This Row],[Montant
de la facture
CHF]],""),"")</f>
        <v/>
      </c>
      <c r="O128" s="241" t="str">
        <f>IF(Tableau3453[[#This Row],[Date 
du paiement]]="",IF(Tableau3453[[#This Row],[Jours]]&gt;30,IF(Tableau3453[[#This Row],[Jours]]&lt;60,Tableau3453[[#This Row],[Montant
de la facture
CHF]],""),""),"")</f>
        <v/>
      </c>
      <c r="P128" s="241" t="str">
        <f>IF(Tableau3453[[#This Row],[Date 
du paiement]]="",IF(Tableau3453[[#This Row],[Jours]]&gt;60,Tableau3453[[#This Row],[Montant
de la facture
CHF]],""),"")</f>
        <v/>
      </c>
      <c r="Q128" s="249"/>
      <c r="R128" s="250" t="str">
        <f>Tableau3453[[#This Row],[Solde 
ouverte
fm]]</f>
        <v/>
      </c>
      <c r="S1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29" spans="1:19" hidden="1" outlineLevel="1" x14ac:dyDescent="0.25">
      <c r="A129" s="238">
        <v>240100</v>
      </c>
      <c r="B129" s="239" t="s">
        <v>860</v>
      </c>
      <c r="C129" s="352" t="str">
        <f>IF(Tableau3453[[#This Row],[Date 
du paiement]]="",IF(Tableau3453[[#This Row],[Jours]]&gt;Tableau3453[[#This Row],[Conditions
pmt+]]+5,"oui",""),"")</f>
        <v/>
      </c>
      <c r="D129" s="238" t="s">
        <v>909</v>
      </c>
      <c r="E129" s="240">
        <v>45350</v>
      </c>
      <c r="F129" s="241">
        <v>2875.65</v>
      </c>
      <c r="G129" s="242" t="str">
        <f>IF(Tableau3453[[#This Row],[Date 
du paiement]]="",Tableau3453[[#This Row],[Montant
de la facture
CHF]],"")</f>
        <v/>
      </c>
      <c r="H129" s="243" t="s">
        <v>932</v>
      </c>
      <c r="I129" s="245">
        <v>45355</v>
      </c>
      <c r="J129" s="246">
        <v>45418</v>
      </c>
      <c r="K129" s="247" t="s">
        <v>58</v>
      </c>
      <c r="L129" s="248"/>
      <c r="M129" s="248">
        <f>IF(Tableau3453[[#This Row],[Date 
du paiement]]="",$D$4-Tableau3453[[#This Row],[Date
de la facture]],Tableau3453[[#This Row],[Date 
du paiement]]-Tableau3453[[#This Row],[Date
de la facture]])</f>
        <v>68</v>
      </c>
      <c r="N129" s="241" t="str">
        <f>IF(Tableau3453[[#This Row],[Date 
du paiement]]="",IF(Tableau3453[[#This Row],[Jours]]&lt;30,Tableau3453[[#This Row],[Montant
de la facture
CHF]],""),"")</f>
        <v/>
      </c>
      <c r="O129" s="241" t="str">
        <f>IF(Tableau3453[[#This Row],[Date 
du paiement]]="",IF(Tableau3453[[#This Row],[Jours]]&gt;30,IF(Tableau3453[[#This Row],[Jours]]&lt;60,Tableau3453[[#This Row],[Montant
de la facture
CHF]],""),""),"")</f>
        <v/>
      </c>
      <c r="P129" s="241" t="str">
        <f>IF(Tableau3453[[#This Row],[Date 
du paiement]]="",IF(Tableau3453[[#This Row],[Jours]]&gt;60,Tableau3453[[#This Row],[Montant
de la facture
CHF]],""),"")</f>
        <v/>
      </c>
      <c r="Q129" s="249"/>
      <c r="R129" s="250" t="str">
        <f>Tableau3453[[#This Row],[Solde 
ouverte
fm]]</f>
        <v/>
      </c>
      <c r="S12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0" spans="1:19" hidden="1" outlineLevel="1" x14ac:dyDescent="0.25">
      <c r="A130" s="238">
        <v>240045</v>
      </c>
      <c r="B130" s="239" t="s">
        <v>860</v>
      </c>
      <c r="C130" s="352" t="str">
        <f>IF(Tableau3453[[#This Row],[Date 
du paiement]]="",IF(Tableau3453[[#This Row],[Jours]]&gt;Tableau3453[[#This Row],[Conditions
pmt+]]+5,"oui",""),"")</f>
        <v/>
      </c>
      <c r="D130" s="238" t="s">
        <v>909</v>
      </c>
      <c r="E130" s="240">
        <v>45350</v>
      </c>
      <c r="F130" s="241">
        <v>3746.55</v>
      </c>
      <c r="G130" s="242" t="str">
        <f>IF(Tableau3453[[#This Row],[Date 
du paiement]]="",Tableau3453[[#This Row],[Montant
de la facture
CHF]],"")</f>
        <v/>
      </c>
      <c r="H130" s="243" t="s">
        <v>922</v>
      </c>
      <c r="I130" s="245">
        <v>45355</v>
      </c>
      <c r="J130" s="246">
        <v>45418</v>
      </c>
      <c r="K130" s="247" t="s">
        <v>58</v>
      </c>
      <c r="L130" s="248"/>
      <c r="M130" s="248">
        <f>IF(Tableau3453[[#This Row],[Date 
du paiement]]="",$D$4-Tableau3453[[#This Row],[Date
de la facture]],Tableau3453[[#This Row],[Date 
du paiement]]-Tableau3453[[#This Row],[Date
de la facture]])</f>
        <v>68</v>
      </c>
      <c r="N130" s="241" t="str">
        <f>IF(Tableau3453[[#This Row],[Date 
du paiement]]="",IF(Tableau3453[[#This Row],[Jours]]&lt;30,Tableau3453[[#This Row],[Montant
de la facture
CHF]],""),"")</f>
        <v/>
      </c>
      <c r="O130" s="241" t="str">
        <f>IF(Tableau3453[[#This Row],[Date 
du paiement]]="",IF(Tableau3453[[#This Row],[Jours]]&gt;30,IF(Tableau3453[[#This Row],[Jours]]&lt;60,Tableau3453[[#This Row],[Montant
de la facture
CHF]],""),""),"")</f>
        <v/>
      </c>
      <c r="P130" s="241" t="str">
        <f>IF(Tableau3453[[#This Row],[Date 
du paiement]]="",IF(Tableau3453[[#This Row],[Jours]]&gt;60,Tableau3453[[#This Row],[Montant
de la facture
CHF]],""),"")</f>
        <v/>
      </c>
      <c r="Q130" s="249"/>
      <c r="R130" s="250" t="str">
        <f>Tableau3453[[#This Row],[Solde 
ouverte
fm]]</f>
        <v/>
      </c>
      <c r="S1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1" spans="1:19" hidden="1" outlineLevel="1" x14ac:dyDescent="0.25">
      <c r="A131" s="238">
        <v>240199</v>
      </c>
      <c r="B131" s="239" t="s">
        <v>857</v>
      </c>
      <c r="C131" s="352" t="str">
        <f>IF(Tableau3453[[#This Row],[Date 
du paiement]]="",IF(Tableau3453[[#This Row],[Jours]]&gt;Tableau3453[[#This Row],[Conditions
pmt+]]+5,"oui",""),"")</f>
        <v/>
      </c>
      <c r="D131" s="251" t="s">
        <v>865</v>
      </c>
      <c r="E131" s="240">
        <v>45350</v>
      </c>
      <c r="F131" s="241">
        <v>385.9</v>
      </c>
      <c r="G131" s="242" t="str">
        <f>IF(Tableau3453[[#This Row],[Date 
du paiement]]="",Tableau3453[[#This Row],[Montant
de la facture
CHF]],"")</f>
        <v/>
      </c>
      <c r="H131" s="243"/>
      <c r="I131" s="245">
        <v>45352</v>
      </c>
      <c r="J131" s="246">
        <v>45408</v>
      </c>
      <c r="K131" s="247" t="s">
        <v>58</v>
      </c>
      <c r="L131" s="248"/>
      <c r="M131" s="248">
        <f>IF(Tableau3453[[#This Row],[Date 
du paiement]]="",$D$4-Tableau3453[[#This Row],[Date
de la facture]],Tableau3453[[#This Row],[Date 
du paiement]]-Tableau3453[[#This Row],[Date
de la facture]])</f>
        <v>58</v>
      </c>
      <c r="N131" s="241" t="str">
        <f>IF(Tableau3453[[#This Row],[Date 
du paiement]]="",IF(Tableau3453[[#This Row],[Jours]]&lt;30,Tableau3453[[#This Row],[Montant
de la facture
CHF]],""),"")</f>
        <v/>
      </c>
      <c r="O131" s="241" t="str">
        <f>IF(Tableau3453[[#This Row],[Date 
du paiement]]="",IF(Tableau3453[[#This Row],[Jours]]&gt;30,IF(Tableau3453[[#This Row],[Jours]]&lt;60,Tableau3453[[#This Row],[Montant
de la facture
CHF]],""),""),"")</f>
        <v/>
      </c>
      <c r="P131" s="241" t="str">
        <f>IF(Tableau3453[[#This Row],[Date 
du paiement]]="",IF(Tableau3453[[#This Row],[Jours]]&gt;60,Tableau3453[[#This Row],[Montant
de la facture
CHF]],""),"")</f>
        <v/>
      </c>
      <c r="Q131" s="249"/>
      <c r="R131" s="250" t="str">
        <f>Tableau3453[[#This Row],[Solde 
ouverte
fm]]</f>
        <v/>
      </c>
      <c r="S1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2" spans="1:19" hidden="1" outlineLevel="1" x14ac:dyDescent="0.25">
      <c r="A132" s="238">
        <v>240208</v>
      </c>
      <c r="B132" s="239" t="s">
        <v>860</v>
      </c>
      <c r="C132" s="352" t="str">
        <f>IF(Tableau3453[[#This Row],[Date 
du paiement]]="",IF(Tableau3453[[#This Row],[Jours]]&gt;Tableau3453[[#This Row],[Conditions
pmt+]]+5,"oui",""),"")</f>
        <v/>
      </c>
      <c r="D132" s="238" t="s">
        <v>911</v>
      </c>
      <c r="E132" s="240">
        <v>45351</v>
      </c>
      <c r="F132" s="241">
        <v>1119.05</v>
      </c>
      <c r="G132" s="242" t="str">
        <f>IF(Tableau3453[[#This Row],[Date 
du paiement]]="",Tableau3453[[#This Row],[Montant
de la facture
CHF]],"")</f>
        <v/>
      </c>
      <c r="H132" s="243" t="s">
        <v>933</v>
      </c>
      <c r="I132" s="245">
        <v>45352</v>
      </c>
      <c r="J132" s="246">
        <v>45419</v>
      </c>
      <c r="K132" s="247" t="s">
        <v>58</v>
      </c>
      <c r="L132" s="248">
        <v>3</v>
      </c>
      <c r="M132" s="248">
        <f>IF(Tableau3453[[#This Row],[Date 
du paiement]]="",$D$4-Tableau3453[[#This Row],[Date
de la facture]],Tableau3453[[#This Row],[Date 
du paiement]]-Tableau3453[[#This Row],[Date
de la facture]])</f>
        <v>68</v>
      </c>
      <c r="N132" s="241" t="str">
        <f>IF(Tableau3453[[#This Row],[Date 
du paiement]]="",IF(Tableau3453[[#This Row],[Jours]]&lt;30,Tableau3453[[#This Row],[Montant
de la facture
CHF]],""),"")</f>
        <v/>
      </c>
      <c r="O132" s="241" t="str">
        <f>IF(Tableau3453[[#This Row],[Date 
du paiement]]="",IF(Tableau3453[[#This Row],[Jours]]&gt;30,IF(Tableau3453[[#This Row],[Jours]]&lt;60,Tableau3453[[#This Row],[Montant
de la facture
CHF]],""),""),"")</f>
        <v/>
      </c>
      <c r="P132" s="241" t="str">
        <f>IF(Tableau3453[[#This Row],[Date 
du paiement]]="",IF(Tableau3453[[#This Row],[Jours]]&gt;60,Tableau3453[[#This Row],[Montant
de la facture
CHF]],""),"")</f>
        <v/>
      </c>
      <c r="Q132" s="249"/>
      <c r="R132" s="250" t="str">
        <f>Tableau3453[[#This Row],[Solde 
ouverte
fm]]</f>
        <v/>
      </c>
      <c r="S1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3" spans="1:19" hidden="1" outlineLevel="1" x14ac:dyDescent="0.25">
      <c r="A133" s="238">
        <v>240177</v>
      </c>
      <c r="B133" s="239" t="s">
        <v>860</v>
      </c>
      <c r="C133" s="352" t="str">
        <f>IF(Tableau3453[[#This Row],[Date 
du paiement]]="",IF(Tableau3453[[#This Row],[Jours]]&gt;Tableau3453[[#This Row],[Conditions
pmt+]]+5,"oui",""),"")</f>
        <v/>
      </c>
      <c r="D133" s="238" t="s">
        <v>934</v>
      </c>
      <c r="E133" s="240">
        <v>45351</v>
      </c>
      <c r="F133" s="241">
        <v>3201.35</v>
      </c>
      <c r="G133" s="242" t="str">
        <f>IF(Tableau3453[[#This Row],[Date 
du paiement]]="",Tableau3453[[#This Row],[Montant
de la facture
CHF]],"")</f>
        <v/>
      </c>
      <c r="H133" s="243"/>
      <c r="I133" s="245">
        <v>45352</v>
      </c>
      <c r="J133" s="246">
        <v>45385</v>
      </c>
      <c r="K133" s="247" t="s">
        <v>58</v>
      </c>
      <c r="L133" s="248"/>
      <c r="M133" s="248">
        <f>IF(Tableau3453[[#This Row],[Date 
du paiement]]="",$D$4-Tableau3453[[#This Row],[Date
de la facture]],Tableau3453[[#This Row],[Date 
du paiement]]-Tableau3453[[#This Row],[Date
de la facture]])</f>
        <v>34</v>
      </c>
      <c r="N133" s="241" t="str">
        <f>IF(Tableau3453[[#This Row],[Date 
du paiement]]="",IF(Tableau3453[[#This Row],[Jours]]&lt;30,Tableau3453[[#This Row],[Montant
de la facture
CHF]],""),"")</f>
        <v/>
      </c>
      <c r="O133" s="241" t="str">
        <f>IF(Tableau3453[[#This Row],[Date 
du paiement]]="",IF(Tableau3453[[#This Row],[Jours]]&gt;30,IF(Tableau3453[[#This Row],[Jours]]&lt;60,Tableau3453[[#This Row],[Montant
de la facture
CHF]],""),""),"")</f>
        <v/>
      </c>
      <c r="P133" s="241" t="str">
        <f>IF(Tableau3453[[#This Row],[Date 
du paiement]]="",IF(Tableau3453[[#This Row],[Jours]]&gt;60,Tableau3453[[#This Row],[Montant
de la facture
CHF]],""),"")</f>
        <v/>
      </c>
      <c r="Q133" s="249"/>
      <c r="R133" s="250" t="str">
        <f>Tableau3453[[#This Row],[Solde 
ouverte
fm]]</f>
        <v/>
      </c>
      <c r="S13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4" spans="1:19" hidden="1" outlineLevel="1" x14ac:dyDescent="0.25">
      <c r="A134" s="238">
        <v>240192</v>
      </c>
      <c r="B134" s="239" t="s">
        <v>860</v>
      </c>
      <c r="C134" s="352" t="str">
        <f>IF(Tableau3453[[#This Row],[Date 
du paiement]]="",IF(Tableau3453[[#This Row],[Jours]]&gt;Tableau3453[[#This Row],[Conditions
pmt+]]+5,"oui",""),"")</f>
        <v/>
      </c>
      <c r="D134" s="238" t="s">
        <v>901</v>
      </c>
      <c r="E134" s="240">
        <v>45351</v>
      </c>
      <c r="F134" s="241">
        <v>335.75</v>
      </c>
      <c r="G134" s="242" t="str">
        <f>IF(Tableau3453[[#This Row],[Date 
du paiement]]="",Tableau3453[[#This Row],[Montant
de la facture
CHF]],"")</f>
        <v/>
      </c>
      <c r="H134" s="243"/>
      <c r="I134" s="245">
        <v>45352</v>
      </c>
      <c r="J134" s="246">
        <v>45364</v>
      </c>
      <c r="K134" s="247" t="s">
        <v>58</v>
      </c>
      <c r="L134" s="248"/>
      <c r="M134" s="248">
        <f>IF(Tableau3453[[#This Row],[Date 
du paiement]]="",$D$4-Tableau3453[[#This Row],[Date
de la facture]],Tableau3453[[#This Row],[Date 
du paiement]]-Tableau3453[[#This Row],[Date
de la facture]])</f>
        <v>13</v>
      </c>
      <c r="N134" s="241" t="str">
        <f>IF(Tableau3453[[#This Row],[Date 
du paiement]]="",IF(Tableau3453[[#This Row],[Jours]]&lt;30,Tableau3453[[#This Row],[Montant
de la facture
CHF]],""),"")</f>
        <v/>
      </c>
      <c r="O134" s="241" t="str">
        <f>IF(Tableau3453[[#This Row],[Date 
du paiement]]="",IF(Tableau3453[[#This Row],[Jours]]&gt;30,IF(Tableau3453[[#This Row],[Jours]]&lt;60,Tableau3453[[#This Row],[Montant
de la facture
CHF]],""),""),"")</f>
        <v/>
      </c>
      <c r="P134" s="241" t="str">
        <f>IF(Tableau3453[[#This Row],[Date 
du paiement]]="",IF(Tableau3453[[#This Row],[Jours]]&gt;60,Tableau3453[[#This Row],[Montant
de la facture
CHF]],""),"")</f>
        <v/>
      </c>
      <c r="Q134" s="249"/>
      <c r="R134" s="250" t="str">
        <f>Tableau3453[[#This Row],[Solde 
ouverte
fm]]</f>
        <v/>
      </c>
      <c r="S1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5" spans="1:19" hidden="1" outlineLevel="1" x14ac:dyDescent="0.25">
      <c r="A135" s="238">
        <v>240195</v>
      </c>
      <c r="B135" s="239" t="s">
        <v>860</v>
      </c>
      <c r="C135" s="352" t="str">
        <f>IF(Tableau3453[[#This Row],[Date 
du paiement]]="",IF(Tableau3453[[#This Row],[Jours]]&gt;Tableau3453[[#This Row],[Conditions
pmt+]]+5,"oui",""),"")</f>
        <v/>
      </c>
      <c r="D135" s="238" t="s">
        <v>935</v>
      </c>
      <c r="E135" s="240">
        <v>45351</v>
      </c>
      <c r="F135" s="241">
        <v>1993.05</v>
      </c>
      <c r="G135" s="242" t="str">
        <f>IF(Tableau3453[[#This Row],[Date 
du paiement]]="",Tableau3453[[#This Row],[Montant
de la facture
CHF]],"")</f>
        <v/>
      </c>
      <c r="H135" s="243"/>
      <c r="I135" s="245">
        <v>45352</v>
      </c>
      <c r="J135" s="246">
        <v>45349</v>
      </c>
      <c r="K135" s="247" t="s">
        <v>58</v>
      </c>
      <c r="L135" s="248"/>
      <c r="M135" s="248">
        <f>IF(Tableau3453[[#This Row],[Date 
du paiement]]="",$D$4-Tableau3453[[#This Row],[Date
de la facture]],Tableau3453[[#This Row],[Date 
du paiement]]-Tableau3453[[#This Row],[Date
de la facture]])</f>
        <v>-2</v>
      </c>
      <c r="N135" s="241" t="str">
        <f>IF(Tableau3453[[#This Row],[Date 
du paiement]]="",IF(Tableau3453[[#This Row],[Jours]]&lt;30,Tableau3453[[#This Row],[Montant
de la facture
CHF]],""),"")</f>
        <v/>
      </c>
      <c r="O135" s="241" t="str">
        <f>IF(Tableau3453[[#This Row],[Date 
du paiement]]="",IF(Tableau3453[[#This Row],[Jours]]&gt;30,IF(Tableau3453[[#This Row],[Jours]]&lt;60,Tableau3453[[#This Row],[Montant
de la facture
CHF]],""),""),"")</f>
        <v/>
      </c>
      <c r="P135" s="241" t="str">
        <f>IF(Tableau3453[[#This Row],[Date 
du paiement]]="",IF(Tableau3453[[#This Row],[Jours]]&gt;60,Tableau3453[[#This Row],[Montant
de la facture
CHF]],""),"")</f>
        <v/>
      </c>
      <c r="Q135" s="249"/>
      <c r="R135" s="267" t="str">
        <f>Tableau3453[[#This Row],[Solde 
ouverte
fm]]</f>
        <v/>
      </c>
      <c r="S1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6" spans="1:19" hidden="1" outlineLevel="1" x14ac:dyDescent="0.25">
      <c r="A136" s="238">
        <v>240197</v>
      </c>
      <c r="B136" s="239" t="s">
        <v>860</v>
      </c>
      <c r="C136" s="352" t="str">
        <f>IF(Tableau3453[[#This Row],[Date 
du paiement]]="",IF(Tableau3453[[#This Row],[Jours]]&gt;Tableau3453[[#This Row],[Conditions
pmt+]]+5,"oui",""),"")</f>
        <v/>
      </c>
      <c r="D136" s="238" t="s">
        <v>909</v>
      </c>
      <c r="E136" s="240">
        <v>45352</v>
      </c>
      <c r="F136" s="241">
        <v>3510.95</v>
      </c>
      <c r="G136" s="242" t="str">
        <f>IF(Tableau3453[[#This Row],[Date 
du paiement]]="",Tableau3453[[#This Row],[Montant
de la facture
CHF]],"")</f>
        <v/>
      </c>
      <c r="H136" s="243" t="s">
        <v>922</v>
      </c>
      <c r="I136" s="245">
        <v>45355</v>
      </c>
      <c r="J136" s="246">
        <v>45418</v>
      </c>
      <c r="K136" s="247" t="s">
        <v>58</v>
      </c>
      <c r="L136" s="248"/>
      <c r="M136" s="248">
        <f>IF(Tableau3453[[#This Row],[Date 
du paiement]]="",$D$4-Tableau3453[[#This Row],[Date
de la facture]],Tableau3453[[#This Row],[Date 
du paiement]]-Tableau3453[[#This Row],[Date
de la facture]])</f>
        <v>66</v>
      </c>
      <c r="N136" s="241" t="str">
        <f>IF(Tableau3453[[#This Row],[Date 
du paiement]]="",IF(Tableau3453[[#This Row],[Jours]]&lt;30,Tableau3453[[#This Row],[Montant
de la facture
CHF]],""),"")</f>
        <v/>
      </c>
      <c r="O136" s="241" t="str">
        <f>IF(Tableau3453[[#This Row],[Date 
du paiement]]="",IF(Tableau3453[[#This Row],[Jours]]&gt;30,IF(Tableau3453[[#This Row],[Jours]]&lt;60,Tableau3453[[#This Row],[Montant
de la facture
CHF]],""),""),"")</f>
        <v/>
      </c>
      <c r="P136" s="241" t="str">
        <f>IF(Tableau3453[[#This Row],[Date 
du paiement]]="",IF(Tableau3453[[#This Row],[Jours]]&gt;60,Tableau3453[[#This Row],[Montant
de la facture
CHF]],""),"")</f>
        <v/>
      </c>
      <c r="Q136" s="249"/>
      <c r="R136" s="250" t="str">
        <f>Tableau3453[[#This Row],[Solde 
ouverte
fm]]</f>
        <v/>
      </c>
      <c r="S13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7" spans="1:19" hidden="1" outlineLevel="1" x14ac:dyDescent="0.25">
      <c r="A137" s="238">
        <v>240104</v>
      </c>
      <c r="B137" s="239" t="s">
        <v>860</v>
      </c>
      <c r="C137" s="352" t="str">
        <f>IF(Tableau3453[[#This Row],[Date 
du paiement]]="",IF(Tableau3453[[#This Row],[Jours]]&gt;Tableau3453[[#This Row],[Conditions
pmt+]]+5,"oui",""),"")</f>
        <v/>
      </c>
      <c r="D137" s="238" t="s">
        <v>936</v>
      </c>
      <c r="E137" s="240">
        <v>45352</v>
      </c>
      <c r="F137" s="241">
        <v>323.5</v>
      </c>
      <c r="G137" s="242" t="str">
        <f>IF(Tableau3453[[#This Row],[Date 
du paiement]]="",Tableau3453[[#This Row],[Montant
de la facture
CHF]],"")</f>
        <v/>
      </c>
      <c r="H137" s="243"/>
      <c r="I137" s="245">
        <v>45355</v>
      </c>
      <c r="J137" s="246">
        <v>45404</v>
      </c>
      <c r="K137" s="247" t="s">
        <v>58</v>
      </c>
      <c r="L137" s="248">
        <v>1</v>
      </c>
      <c r="M137" s="248">
        <f>IF(Tableau3453[[#This Row],[Date 
du paiement]]="",$D$4-Tableau3453[[#This Row],[Date
de la facture]],Tableau3453[[#This Row],[Date 
du paiement]]-Tableau3453[[#This Row],[Date
de la facture]])</f>
        <v>52</v>
      </c>
      <c r="N137" s="241" t="str">
        <f>IF(Tableau3453[[#This Row],[Date 
du paiement]]="",IF(Tableau3453[[#This Row],[Jours]]&lt;30,Tableau3453[[#This Row],[Montant
de la facture
CHF]],""),"")</f>
        <v/>
      </c>
      <c r="O137" s="241" t="str">
        <f>IF(Tableau3453[[#This Row],[Date 
du paiement]]="",IF(Tableau3453[[#This Row],[Jours]]&gt;30,IF(Tableau3453[[#This Row],[Jours]]&lt;60,Tableau3453[[#This Row],[Montant
de la facture
CHF]],""),""),"")</f>
        <v/>
      </c>
      <c r="P137" s="241" t="str">
        <f>IF(Tableau3453[[#This Row],[Date 
du paiement]]="",IF(Tableau3453[[#This Row],[Jours]]&gt;60,Tableau3453[[#This Row],[Montant
de la facture
CHF]],""),"")</f>
        <v/>
      </c>
      <c r="Q137" s="249"/>
      <c r="R137" s="250" t="str">
        <f>Tableau3453[[#This Row],[Solde 
ouverte
fm]]</f>
        <v/>
      </c>
      <c r="S13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8" spans="1:19" hidden="1" outlineLevel="1" x14ac:dyDescent="0.25">
      <c r="A138" s="238">
        <v>240214</v>
      </c>
      <c r="B138" s="239" t="s">
        <v>870</v>
      </c>
      <c r="C138" s="352" t="str">
        <f>IF(Tableau3453[[#This Row],[Date 
du paiement]]="",IF(Tableau3453[[#This Row],[Jours]]&gt;Tableau3453[[#This Row],[Conditions
pmt+]]+5,"oui",""),"")</f>
        <v/>
      </c>
      <c r="D138" s="238" t="s">
        <v>871</v>
      </c>
      <c r="E138" s="240">
        <v>45352</v>
      </c>
      <c r="F138" s="241">
        <v>721.9</v>
      </c>
      <c r="G138" s="242" t="str">
        <f>IF(Tableau3453[[#This Row],[Date 
du paiement]]="",Tableau3453[[#This Row],[Montant
de la facture
CHF]],"")</f>
        <v/>
      </c>
      <c r="H138" s="243"/>
      <c r="I138" s="245">
        <v>45352</v>
      </c>
      <c r="J138" s="246">
        <v>45392</v>
      </c>
      <c r="K138" s="247" t="s">
        <v>58</v>
      </c>
      <c r="L138" s="248">
        <v>1</v>
      </c>
      <c r="M138" s="248">
        <f>IF(Tableau3453[[#This Row],[Date 
du paiement]]="",$D$4-Tableau3453[[#This Row],[Date
de la facture]],Tableau3453[[#This Row],[Date 
du paiement]]-Tableau3453[[#This Row],[Date
de la facture]])</f>
        <v>40</v>
      </c>
      <c r="N138" s="241" t="str">
        <f>IF(Tableau3453[[#This Row],[Date 
du paiement]]="",IF(Tableau3453[[#This Row],[Jours]]&lt;30,Tableau3453[[#This Row],[Montant
de la facture
CHF]],""),"")</f>
        <v/>
      </c>
      <c r="O138" s="241" t="str">
        <f>IF(Tableau3453[[#This Row],[Date 
du paiement]]="",IF(Tableau3453[[#This Row],[Jours]]&gt;30,IF(Tableau3453[[#This Row],[Jours]]&lt;60,Tableau3453[[#This Row],[Montant
de la facture
CHF]],""),""),"")</f>
        <v/>
      </c>
      <c r="P138" s="241" t="str">
        <f>IF(Tableau3453[[#This Row],[Date 
du paiement]]="",IF(Tableau3453[[#This Row],[Jours]]&gt;60,Tableau3453[[#This Row],[Montant
de la facture
CHF]],""),"")</f>
        <v/>
      </c>
      <c r="Q138" s="249"/>
      <c r="R138" s="250" t="str">
        <f>Tableau3453[[#This Row],[Solde 
ouverte
fm]]</f>
        <v/>
      </c>
      <c r="S13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39" spans="1:19" hidden="1" outlineLevel="1" x14ac:dyDescent="0.25">
      <c r="A139" s="238">
        <v>240103</v>
      </c>
      <c r="B139" s="239" t="s">
        <v>860</v>
      </c>
      <c r="C139" s="352" t="str">
        <f>IF(Tableau3453[[#This Row],[Date 
du paiement]]="",IF(Tableau3453[[#This Row],[Jours]]&gt;Tableau3453[[#This Row],[Conditions
pmt+]]+5,"oui",""),"")</f>
        <v/>
      </c>
      <c r="D139" s="238" t="s">
        <v>937</v>
      </c>
      <c r="E139" s="240">
        <v>45352</v>
      </c>
      <c r="F139" s="241">
        <v>634.4</v>
      </c>
      <c r="G139" s="242" t="str">
        <f>IF(Tableau3453[[#This Row],[Date 
du paiement]]="",Tableau3453[[#This Row],[Montant
de la facture
CHF]],"")</f>
        <v/>
      </c>
      <c r="H139" s="243"/>
      <c r="I139" s="245">
        <v>45355</v>
      </c>
      <c r="J139" s="246">
        <v>45390</v>
      </c>
      <c r="K139" s="247" t="s">
        <v>58</v>
      </c>
      <c r="L139" s="248">
        <v>1</v>
      </c>
      <c r="M139" s="248">
        <f>IF(Tableau3453[[#This Row],[Date 
du paiement]]="",$D$4-Tableau3453[[#This Row],[Date
de la facture]],Tableau3453[[#This Row],[Date 
du paiement]]-Tableau3453[[#This Row],[Date
de la facture]])</f>
        <v>38</v>
      </c>
      <c r="N139" s="241" t="str">
        <f>IF(Tableau3453[[#This Row],[Date 
du paiement]]="",IF(Tableau3453[[#This Row],[Jours]]&lt;30,Tableau3453[[#This Row],[Montant
de la facture
CHF]],""),"")</f>
        <v/>
      </c>
      <c r="O139" s="241" t="str">
        <f>IF(Tableau3453[[#This Row],[Date 
du paiement]]="",IF(Tableau3453[[#This Row],[Jours]]&gt;30,IF(Tableau3453[[#This Row],[Jours]]&lt;60,Tableau3453[[#This Row],[Montant
de la facture
CHF]],""),""),"")</f>
        <v/>
      </c>
      <c r="P139" s="241" t="str">
        <f>IF(Tableau3453[[#This Row],[Date 
du paiement]]="",IF(Tableau3453[[#This Row],[Jours]]&gt;60,Tableau3453[[#This Row],[Montant
de la facture
CHF]],""),"")</f>
        <v/>
      </c>
      <c r="Q139" s="249"/>
      <c r="R139" s="250" t="str">
        <f>Tableau3453[[#This Row],[Solde 
ouverte
fm]]</f>
        <v/>
      </c>
      <c r="S1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0" spans="1:19" hidden="1" outlineLevel="1" x14ac:dyDescent="0.25">
      <c r="A140" s="238">
        <v>240117</v>
      </c>
      <c r="B140" s="239" t="s">
        <v>857</v>
      </c>
      <c r="C140" s="352" t="str">
        <f>IF(Tableau3453[[#This Row],[Date 
du paiement]]="",IF(Tableau3453[[#This Row],[Jours]]&gt;Tableau3453[[#This Row],[Conditions
pmt+]]+5,"oui",""),"")</f>
        <v/>
      </c>
      <c r="D140" s="238" t="s">
        <v>858</v>
      </c>
      <c r="E140" s="240">
        <v>45355</v>
      </c>
      <c r="F140" s="241">
        <v>9926.35</v>
      </c>
      <c r="G140" s="242" t="str">
        <f>IF(Tableau3453[[#This Row],[Date 
du paiement]]="",Tableau3453[[#This Row],[Montant
de la facture
CHF]],"")</f>
        <v/>
      </c>
      <c r="H140" s="243" t="s">
        <v>859</v>
      </c>
      <c r="I140" s="245">
        <v>45359</v>
      </c>
      <c r="J140" s="246">
        <v>45470</v>
      </c>
      <c r="K140" s="247" t="s">
        <v>58</v>
      </c>
      <c r="L140" s="260">
        <v>6</v>
      </c>
      <c r="M140" s="248">
        <f>IF(Tableau3453[[#This Row],[Date 
du paiement]]="",$D$4-Tableau3453[[#This Row],[Date
de la facture]],Tableau3453[[#This Row],[Date 
du paiement]]-Tableau3453[[#This Row],[Date
de la facture]])</f>
        <v>115</v>
      </c>
      <c r="N140" s="241" t="str">
        <f>IF(Tableau3453[[#This Row],[Date 
du paiement]]="",IF(Tableau3453[[#This Row],[Jours]]&lt;30,Tableau3453[[#This Row],[Montant
de la facture
CHF]],""),"")</f>
        <v/>
      </c>
      <c r="O140" s="241" t="str">
        <f>IF(Tableau3453[[#This Row],[Date 
du paiement]]="",IF(Tableau3453[[#This Row],[Jours]]&gt;30,IF(Tableau3453[[#This Row],[Jours]]&lt;60,Tableau3453[[#This Row],[Montant
de la facture
CHF]],""),""),"")</f>
        <v/>
      </c>
      <c r="P140" s="241" t="str">
        <f>IF(Tableau3453[[#This Row],[Date 
du paiement]]="",IF(Tableau3453[[#This Row],[Jours]]&gt;60,Tableau3453[[#This Row],[Montant
de la facture
CHF]],""),"")</f>
        <v/>
      </c>
      <c r="Q140" s="249" t="s">
        <v>1048</v>
      </c>
      <c r="R140" s="250" t="str">
        <f>Tableau3453[[#This Row],[Solde 
ouverte
fm]]</f>
        <v/>
      </c>
      <c r="S14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1" spans="1:19" hidden="1" outlineLevel="1" x14ac:dyDescent="0.25">
      <c r="A141" s="238">
        <v>240200</v>
      </c>
      <c r="B141" s="239" t="s">
        <v>860</v>
      </c>
      <c r="C141" s="352" t="str">
        <f>IF(Tableau3453[[#This Row],[Date 
du paiement]]="",IF(Tableau3453[[#This Row],[Jours]]&gt;Tableau3453[[#This Row],[Conditions
pmt+]]+5,"oui",""),"")</f>
        <v/>
      </c>
      <c r="D141" s="238" t="s">
        <v>938</v>
      </c>
      <c r="E141" s="240">
        <v>45355</v>
      </c>
      <c r="F141" s="241">
        <v>297.14999999999998</v>
      </c>
      <c r="G141" s="242" t="str">
        <f>IF(Tableau3453[[#This Row],[Date 
du paiement]]="",Tableau3453[[#This Row],[Montant
de la facture
CHF]],"")</f>
        <v/>
      </c>
      <c r="H141" s="243"/>
      <c r="I141" s="245">
        <v>45359</v>
      </c>
      <c r="J141" s="246">
        <v>45414</v>
      </c>
      <c r="K141" s="247" t="s">
        <v>58</v>
      </c>
      <c r="L141" s="248">
        <v>2</v>
      </c>
      <c r="M141" s="248">
        <f>IF(Tableau3453[[#This Row],[Date 
du paiement]]="",$D$4-Tableau3453[[#This Row],[Date
de la facture]],Tableau3453[[#This Row],[Date 
du paiement]]-Tableau3453[[#This Row],[Date
de la facture]])</f>
        <v>59</v>
      </c>
      <c r="N141" s="241" t="str">
        <f>IF(Tableau3453[[#This Row],[Date 
du paiement]]="",IF(Tableau3453[[#This Row],[Jours]]&lt;30,Tableau3453[[#This Row],[Montant
de la facture
CHF]],""),"")</f>
        <v/>
      </c>
      <c r="O141" s="241" t="str">
        <f>IF(Tableau3453[[#This Row],[Date 
du paiement]]="",IF(Tableau3453[[#This Row],[Jours]]&gt;30,IF(Tableau3453[[#This Row],[Jours]]&lt;60,Tableau3453[[#This Row],[Montant
de la facture
CHF]],""),""),"")</f>
        <v/>
      </c>
      <c r="P141" s="241" t="str">
        <f>IF(Tableau3453[[#This Row],[Date 
du paiement]]="",IF(Tableau3453[[#This Row],[Jours]]&gt;60,Tableau3453[[#This Row],[Montant
de la facture
CHF]],""),"")</f>
        <v/>
      </c>
      <c r="Q141" s="249"/>
      <c r="R141" s="250" t="str">
        <f>Tableau3453[[#This Row],[Solde 
ouverte
fm]]</f>
        <v/>
      </c>
      <c r="S14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2" spans="1:19" hidden="1" outlineLevel="1" x14ac:dyDescent="0.25">
      <c r="A142" s="238">
        <v>240211</v>
      </c>
      <c r="B142" s="239" t="s">
        <v>860</v>
      </c>
      <c r="C142" s="352" t="str">
        <f>IF(Tableau3453[[#This Row],[Date 
du paiement]]="",IF(Tableau3453[[#This Row],[Jours]]&gt;Tableau3453[[#This Row],[Conditions
pmt+]]+5,"oui",""),"")</f>
        <v/>
      </c>
      <c r="D142" s="238" t="s">
        <v>939</v>
      </c>
      <c r="E142" s="240">
        <v>45355</v>
      </c>
      <c r="F142" s="241">
        <v>578.45000000000005</v>
      </c>
      <c r="G142" s="242" t="str">
        <f>IF(Tableau3453[[#This Row],[Date 
du paiement]]="",Tableau3453[[#This Row],[Montant
de la facture
CHF]],"")</f>
        <v/>
      </c>
      <c r="H142" s="243"/>
      <c r="I142" s="245">
        <v>45355</v>
      </c>
      <c r="J142" s="246">
        <v>45405</v>
      </c>
      <c r="K142" s="247" t="s">
        <v>58</v>
      </c>
      <c r="L142" s="248">
        <v>1</v>
      </c>
      <c r="M142" s="248">
        <f>IF(Tableau3453[[#This Row],[Date 
du paiement]]="",$D$4-Tableau3453[[#This Row],[Date
de la facture]],Tableau3453[[#This Row],[Date 
du paiement]]-Tableau3453[[#This Row],[Date
de la facture]])</f>
        <v>50</v>
      </c>
      <c r="N142" s="241" t="str">
        <f>IF(Tableau3453[[#This Row],[Date 
du paiement]]="",IF(Tableau3453[[#This Row],[Jours]]&lt;30,Tableau3453[[#This Row],[Montant
de la facture
CHF]],""),"")</f>
        <v/>
      </c>
      <c r="O142" s="241" t="str">
        <f>IF(Tableau3453[[#This Row],[Date 
du paiement]]="",IF(Tableau3453[[#This Row],[Jours]]&gt;30,IF(Tableau3453[[#This Row],[Jours]]&lt;60,Tableau3453[[#This Row],[Montant
de la facture
CHF]],""),""),"")</f>
        <v/>
      </c>
      <c r="P142" s="241" t="str">
        <f>IF(Tableau3453[[#This Row],[Date 
du paiement]]="",IF(Tableau3453[[#This Row],[Jours]]&gt;60,Tableau3453[[#This Row],[Montant
de la facture
CHF]],""),"")</f>
        <v/>
      </c>
      <c r="Q142" s="249"/>
      <c r="R142" s="250" t="str">
        <f>Tableau3453[[#This Row],[Solde 
ouverte
fm]]</f>
        <v/>
      </c>
      <c r="S14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3" spans="1:19" hidden="1" outlineLevel="1" x14ac:dyDescent="0.25">
      <c r="A143" s="238">
        <v>240188</v>
      </c>
      <c r="B143" s="239" t="s">
        <v>860</v>
      </c>
      <c r="C143" s="352" t="str">
        <f>IF(Tableau3453[[#This Row],[Date 
du paiement]]="",IF(Tableau3453[[#This Row],[Jours]]&gt;Tableau3453[[#This Row],[Conditions
pmt+]]+5,"oui",""),"")</f>
        <v/>
      </c>
      <c r="D143" s="238" t="s">
        <v>940</v>
      </c>
      <c r="E143" s="240">
        <v>45355</v>
      </c>
      <c r="F143" s="241">
        <v>187.25</v>
      </c>
      <c r="G143" s="242" t="str">
        <f>IF(Tableau3453[[#This Row],[Date 
du paiement]]="",Tableau3453[[#This Row],[Montant
de la facture
CHF]],"")</f>
        <v/>
      </c>
      <c r="H143" s="243"/>
      <c r="I143" s="245">
        <v>45359</v>
      </c>
      <c r="J143" s="246">
        <v>45378</v>
      </c>
      <c r="K143" s="247" t="s">
        <v>58</v>
      </c>
      <c r="L143" s="248"/>
      <c r="M143" s="248">
        <f>IF(Tableau3453[[#This Row],[Date 
du paiement]]="",$D$4-Tableau3453[[#This Row],[Date
de la facture]],Tableau3453[[#This Row],[Date 
du paiement]]-Tableau3453[[#This Row],[Date
de la facture]])</f>
        <v>23</v>
      </c>
      <c r="N143" s="241" t="str">
        <f>IF(Tableau3453[[#This Row],[Date 
du paiement]]="",IF(Tableau3453[[#This Row],[Jours]]&lt;30,Tableau3453[[#This Row],[Montant
de la facture
CHF]],""),"")</f>
        <v/>
      </c>
      <c r="O143" s="241" t="str">
        <f>IF(Tableau3453[[#This Row],[Date 
du paiement]]="",IF(Tableau3453[[#This Row],[Jours]]&gt;30,IF(Tableau3453[[#This Row],[Jours]]&lt;60,Tableau3453[[#This Row],[Montant
de la facture
CHF]],""),""),"")</f>
        <v/>
      </c>
      <c r="P143" s="241" t="str">
        <f>IF(Tableau3453[[#This Row],[Date 
du paiement]]="",IF(Tableau3453[[#This Row],[Jours]]&gt;60,Tableau3453[[#This Row],[Montant
de la facture
CHF]],""),"")</f>
        <v/>
      </c>
      <c r="Q143" s="249"/>
      <c r="R143" s="250" t="str">
        <f>Tableau3453[[#This Row],[Solde 
ouverte
fm]]</f>
        <v/>
      </c>
      <c r="S1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4" spans="1:19" hidden="1" outlineLevel="1" x14ac:dyDescent="0.25">
      <c r="A144" s="238">
        <v>240188</v>
      </c>
      <c r="B144" s="239" t="s">
        <v>860</v>
      </c>
      <c r="C144" s="352" t="str">
        <f>IF(Tableau3453[[#This Row],[Date 
du paiement]]="",IF(Tableau3453[[#This Row],[Jours]]&gt;Tableau3453[[#This Row],[Conditions
pmt+]]+5,"oui",""),"")</f>
        <v/>
      </c>
      <c r="D144" s="238" t="s">
        <v>940</v>
      </c>
      <c r="E144" s="240">
        <v>45355</v>
      </c>
      <c r="F144" s="241">
        <v>421.35</v>
      </c>
      <c r="G144" s="242" t="str">
        <f>IF(Tableau3453[[#This Row],[Date 
du paiement]]="",Tableau3453[[#This Row],[Montant
de la facture
CHF]],"")</f>
        <v/>
      </c>
      <c r="H144" s="243"/>
      <c r="I144" s="245">
        <v>45359</v>
      </c>
      <c r="J144" s="246">
        <v>45344</v>
      </c>
      <c r="K144" s="247" t="s">
        <v>907</v>
      </c>
      <c r="L144" s="248"/>
      <c r="M144" s="248">
        <f>IF(Tableau3453[[#This Row],[Date 
du paiement]]="",$D$4-Tableau3453[[#This Row],[Date
de la facture]],Tableau3453[[#This Row],[Date 
du paiement]]-Tableau3453[[#This Row],[Date
de la facture]])</f>
        <v>-11</v>
      </c>
      <c r="N144" s="241" t="str">
        <f>IF(Tableau3453[[#This Row],[Date 
du paiement]]="",IF(Tableau3453[[#This Row],[Jours]]&lt;30,Tableau3453[[#This Row],[Montant
de la facture
CHF]],""),"")</f>
        <v/>
      </c>
      <c r="O144" s="241" t="str">
        <f>IF(Tableau3453[[#This Row],[Date 
du paiement]]="",IF(Tableau3453[[#This Row],[Jours]]&gt;30,IF(Tableau3453[[#This Row],[Jours]]&lt;60,Tableau3453[[#This Row],[Montant
de la facture
CHF]],""),""),"")</f>
        <v/>
      </c>
      <c r="P144" s="241" t="str">
        <f>IF(Tableau3453[[#This Row],[Date 
du paiement]]="",IF(Tableau3453[[#This Row],[Jours]]&gt;60,Tableau3453[[#This Row],[Montant
de la facture
CHF]],""),"")</f>
        <v/>
      </c>
      <c r="Q144" s="249"/>
      <c r="R144" s="267" t="str">
        <f>Tableau3453[[#This Row],[Solde 
ouverte
fm]]</f>
        <v/>
      </c>
      <c r="S14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5" spans="1:19" hidden="1" outlineLevel="1" x14ac:dyDescent="0.25">
      <c r="A145" s="238">
        <v>240098</v>
      </c>
      <c r="B145" s="239" t="s">
        <v>860</v>
      </c>
      <c r="C145" s="352" t="str">
        <f>IF(Tableau3453[[#This Row],[Date 
du paiement]]="",IF(Tableau3453[[#This Row],[Jours]]&gt;Tableau3453[[#This Row],[Conditions
pmt+]]+5,"oui",""),"")</f>
        <v/>
      </c>
      <c r="D145" s="238" t="s">
        <v>861</v>
      </c>
      <c r="E145" s="240">
        <v>45356</v>
      </c>
      <c r="F145" s="241">
        <v>5513.1</v>
      </c>
      <c r="G145" s="242" t="str">
        <f>IF(Tableau3453[[#This Row],[Date 
du paiement]]="",Tableau3453[[#This Row],[Montant
de la facture
CHF]],"")</f>
        <v/>
      </c>
      <c r="H145" s="243"/>
      <c r="I145" s="245">
        <v>45359</v>
      </c>
      <c r="J145" s="246">
        <v>45418</v>
      </c>
      <c r="K145" s="247" t="s">
        <v>58</v>
      </c>
      <c r="L145" s="248">
        <v>2</v>
      </c>
      <c r="M145" s="248">
        <f>IF(Tableau3453[[#This Row],[Date 
du paiement]]="",$D$4-Tableau3453[[#This Row],[Date
de la facture]],Tableau3453[[#This Row],[Date 
du paiement]]-Tableau3453[[#This Row],[Date
de la facture]])</f>
        <v>62</v>
      </c>
      <c r="N145" s="241" t="str">
        <f>IF(Tableau3453[[#This Row],[Date 
du paiement]]="",IF(Tableau3453[[#This Row],[Jours]]&lt;30,Tableau3453[[#This Row],[Montant
de la facture
CHF]],""),"")</f>
        <v/>
      </c>
      <c r="O145" s="241" t="str">
        <f>IF(Tableau3453[[#This Row],[Date 
du paiement]]="",IF(Tableau3453[[#This Row],[Jours]]&gt;30,IF(Tableau3453[[#This Row],[Jours]]&lt;60,Tableau3453[[#This Row],[Montant
de la facture
CHF]],""),""),"")</f>
        <v/>
      </c>
      <c r="P145" s="241" t="str">
        <f>IF(Tableau3453[[#This Row],[Date 
du paiement]]="",IF(Tableau3453[[#This Row],[Jours]]&gt;60,Tableau3453[[#This Row],[Montant
de la facture
CHF]],""),"")</f>
        <v/>
      </c>
      <c r="Q145" s="249"/>
      <c r="R145" s="250" t="str">
        <f>Tableau3453[[#This Row],[Solde 
ouverte
fm]]</f>
        <v/>
      </c>
      <c r="S14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6" spans="1:19" hidden="1" outlineLevel="1" x14ac:dyDescent="0.25">
      <c r="A146" s="238">
        <v>240220</v>
      </c>
      <c r="B146" s="239" t="s">
        <v>860</v>
      </c>
      <c r="C146" s="352" t="str">
        <f>IF(Tableau3453[[#This Row],[Date 
du paiement]]="",IF(Tableau3453[[#This Row],[Jours]]&gt;Tableau3453[[#This Row],[Conditions
pmt+]]+5,"oui",""),"")</f>
        <v/>
      </c>
      <c r="D146" s="238" t="s">
        <v>880</v>
      </c>
      <c r="E146" s="240">
        <v>45356</v>
      </c>
      <c r="F146" s="241">
        <v>1598.3</v>
      </c>
      <c r="G146" s="242" t="str">
        <f>IF(Tableau3453[[#This Row],[Date 
du paiement]]="",Tableau3453[[#This Row],[Montant
de la facture
CHF]],"")</f>
        <v/>
      </c>
      <c r="H146" s="243"/>
      <c r="I146" s="245">
        <v>45359</v>
      </c>
      <c r="J146" s="246">
        <v>45386</v>
      </c>
      <c r="K146" s="247" t="s">
        <v>58</v>
      </c>
      <c r="L146" s="248"/>
      <c r="M146" s="248">
        <f>IF(Tableau3453[[#This Row],[Date 
du paiement]]="",$D$4-Tableau3453[[#This Row],[Date
de la facture]],Tableau3453[[#This Row],[Date 
du paiement]]-Tableau3453[[#This Row],[Date
de la facture]])</f>
        <v>30</v>
      </c>
      <c r="N146" s="241" t="str">
        <f>IF(Tableau3453[[#This Row],[Date 
du paiement]]="",IF(Tableau3453[[#This Row],[Jours]]&lt;30,Tableau3453[[#This Row],[Montant
de la facture
CHF]],""),"")</f>
        <v/>
      </c>
      <c r="O146" s="241" t="str">
        <f>IF(Tableau3453[[#This Row],[Date 
du paiement]]="",IF(Tableau3453[[#This Row],[Jours]]&gt;30,IF(Tableau3453[[#This Row],[Jours]]&lt;60,Tableau3453[[#This Row],[Montant
de la facture
CHF]],""),""),"")</f>
        <v/>
      </c>
      <c r="P146" s="241" t="str">
        <f>IF(Tableau3453[[#This Row],[Date 
du paiement]]="",IF(Tableau3453[[#This Row],[Jours]]&gt;60,Tableau3453[[#This Row],[Montant
de la facture
CHF]],""),"")</f>
        <v/>
      </c>
      <c r="Q146" s="249"/>
      <c r="R146" s="250" t="str">
        <f>Tableau3453[[#This Row],[Solde 
ouverte
fm]]</f>
        <v/>
      </c>
      <c r="S14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7" spans="1:19" hidden="1" outlineLevel="1" x14ac:dyDescent="0.25">
      <c r="A147" s="238">
        <v>240213</v>
      </c>
      <c r="B147" s="239" t="s">
        <v>860</v>
      </c>
      <c r="C147" s="352" t="str">
        <f>IF(Tableau3453[[#This Row],[Date 
du paiement]]="",IF(Tableau3453[[#This Row],[Jours]]&gt;Tableau3453[[#This Row],[Conditions
pmt+]]+5,"oui",""),"")</f>
        <v/>
      </c>
      <c r="D147" s="238" t="s">
        <v>899</v>
      </c>
      <c r="E147" s="240">
        <v>45356</v>
      </c>
      <c r="F147" s="241">
        <v>2516</v>
      </c>
      <c r="G147" s="242" t="str">
        <f>IF(Tableau3453[[#This Row],[Date 
du paiement]]="",Tableau3453[[#This Row],[Montant
de la facture
CHF]],"")</f>
        <v/>
      </c>
      <c r="H147" s="243"/>
      <c r="I147" s="245">
        <v>45359</v>
      </c>
      <c r="J147" s="246">
        <v>45379</v>
      </c>
      <c r="K147" s="247" t="s">
        <v>58</v>
      </c>
      <c r="L147" s="248"/>
      <c r="M147" s="248">
        <f>IF(Tableau3453[[#This Row],[Date 
du paiement]]="",$D$4-Tableau3453[[#This Row],[Date
de la facture]],Tableau3453[[#This Row],[Date 
du paiement]]-Tableau3453[[#This Row],[Date
de la facture]])</f>
        <v>23</v>
      </c>
      <c r="N147" s="241" t="str">
        <f>IF(Tableau3453[[#This Row],[Date 
du paiement]]="",IF(Tableau3453[[#This Row],[Jours]]&lt;30,Tableau3453[[#This Row],[Montant
de la facture
CHF]],""),"")</f>
        <v/>
      </c>
      <c r="O147" s="241" t="str">
        <f>IF(Tableau3453[[#This Row],[Date 
du paiement]]="",IF(Tableau3453[[#This Row],[Jours]]&gt;30,IF(Tableau3453[[#This Row],[Jours]]&lt;60,Tableau3453[[#This Row],[Montant
de la facture
CHF]],""),""),"")</f>
        <v/>
      </c>
      <c r="P147" s="241" t="str">
        <f>IF(Tableau3453[[#This Row],[Date 
du paiement]]="",IF(Tableau3453[[#This Row],[Jours]]&gt;60,Tableau3453[[#This Row],[Montant
de la facture
CHF]],""),"")</f>
        <v/>
      </c>
      <c r="Q147" s="249"/>
      <c r="R147" s="250" t="str">
        <f>Tableau3453[[#This Row],[Solde 
ouverte
fm]]</f>
        <v/>
      </c>
      <c r="S14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8" spans="1:19" hidden="1" outlineLevel="1" x14ac:dyDescent="0.25">
      <c r="A148" s="238">
        <v>240185</v>
      </c>
      <c r="B148" s="239" t="s">
        <v>860</v>
      </c>
      <c r="C148" s="352" t="str">
        <f>IF(Tableau3453[[#This Row],[Date 
du paiement]]="",IF(Tableau3453[[#This Row],[Jours]]&gt;Tableau3453[[#This Row],[Conditions
pmt+]]+5,"oui",""),"")</f>
        <v/>
      </c>
      <c r="D148" s="238" t="s">
        <v>941</v>
      </c>
      <c r="E148" s="240">
        <v>45356</v>
      </c>
      <c r="F148" s="241">
        <v>2038.15</v>
      </c>
      <c r="G148" s="242" t="str">
        <f>IF(Tableau3453[[#This Row],[Date 
du paiement]]="",Tableau3453[[#This Row],[Montant
de la facture
CHF]],"")</f>
        <v/>
      </c>
      <c r="H148" s="243"/>
      <c r="I148" s="245">
        <v>45359</v>
      </c>
      <c r="J148" s="246">
        <v>45366</v>
      </c>
      <c r="K148" s="247" t="s">
        <v>58</v>
      </c>
      <c r="L148" s="248"/>
      <c r="M148" s="248">
        <f>IF(Tableau3453[[#This Row],[Date 
du paiement]]="",$D$4-Tableau3453[[#This Row],[Date
de la facture]],Tableau3453[[#This Row],[Date 
du paiement]]-Tableau3453[[#This Row],[Date
de la facture]])</f>
        <v>10</v>
      </c>
      <c r="N148" s="241" t="str">
        <f>IF(Tableau3453[[#This Row],[Date 
du paiement]]="",IF(Tableau3453[[#This Row],[Jours]]&lt;30,Tableau3453[[#This Row],[Montant
de la facture
CHF]],""),"")</f>
        <v/>
      </c>
      <c r="O148" s="241" t="str">
        <f>IF(Tableau3453[[#This Row],[Date 
du paiement]]="",IF(Tableau3453[[#This Row],[Jours]]&gt;30,IF(Tableau3453[[#This Row],[Jours]]&lt;60,Tableau3453[[#This Row],[Montant
de la facture
CHF]],""),""),"")</f>
        <v/>
      </c>
      <c r="P148" s="241" t="str">
        <f>IF(Tableau3453[[#This Row],[Date 
du paiement]]="",IF(Tableau3453[[#This Row],[Jours]]&gt;60,Tableau3453[[#This Row],[Montant
de la facture
CHF]],""),"")</f>
        <v/>
      </c>
      <c r="Q148" s="249"/>
      <c r="R148" s="250" t="str">
        <f>Tableau3453[[#This Row],[Solde 
ouverte
fm]]</f>
        <v/>
      </c>
      <c r="S14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49" spans="1:19" hidden="1" outlineLevel="1" x14ac:dyDescent="0.25">
      <c r="A149" s="238">
        <v>240212</v>
      </c>
      <c r="B149" s="239" t="s">
        <v>860</v>
      </c>
      <c r="C149" s="352" t="str">
        <f>IF(Tableau3453[[#This Row],[Date 
du paiement]]="",IF(Tableau3453[[#This Row],[Jours]]&gt;Tableau3453[[#This Row],[Conditions
pmt+]]+5,"oui",""),"")</f>
        <v/>
      </c>
      <c r="D149" s="238" t="s">
        <v>942</v>
      </c>
      <c r="E149" s="240">
        <v>45356</v>
      </c>
      <c r="F149" s="241">
        <v>1543.9</v>
      </c>
      <c r="G149" s="242" t="str">
        <f>IF(Tableau3453[[#This Row],[Date 
du paiement]]="",Tableau3453[[#This Row],[Montant
de la facture
CHF]],"")</f>
        <v/>
      </c>
      <c r="H149" s="243"/>
      <c r="I149" s="245">
        <v>45359</v>
      </c>
      <c r="J149" s="246">
        <v>45351</v>
      </c>
      <c r="K149" s="247" t="s">
        <v>907</v>
      </c>
      <c r="L149" s="248"/>
      <c r="M149" s="248">
        <f>IF(Tableau3453[[#This Row],[Date 
du paiement]]="",$D$4-Tableau3453[[#This Row],[Date
de la facture]],Tableau3453[[#This Row],[Date 
du paiement]]-Tableau3453[[#This Row],[Date
de la facture]])</f>
        <v>-5</v>
      </c>
      <c r="N149" s="241" t="str">
        <f>IF(Tableau3453[[#This Row],[Date 
du paiement]]="",IF(Tableau3453[[#This Row],[Jours]]&lt;30,Tableau3453[[#This Row],[Montant
de la facture
CHF]],""),"")</f>
        <v/>
      </c>
      <c r="O149" s="241" t="str">
        <f>IF(Tableau3453[[#This Row],[Date 
du paiement]]="",IF(Tableau3453[[#This Row],[Jours]]&gt;30,IF(Tableau3453[[#This Row],[Jours]]&lt;60,Tableau3453[[#This Row],[Montant
de la facture
CHF]],""),""),"")</f>
        <v/>
      </c>
      <c r="P149" s="241" t="str">
        <f>IF(Tableau3453[[#This Row],[Date 
du paiement]]="",IF(Tableau3453[[#This Row],[Jours]]&gt;60,Tableau3453[[#This Row],[Montant
de la facture
CHF]],""),"")</f>
        <v/>
      </c>
      <c r="Q149" s="249"/>
      <c r="R149" s="267" t="str">
        <f>Tableau3453[[#This Row],[Solde 
ouverte
fm]]</f>
        <v/>
      </c>
      <c r="S1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0" spans="1:19" hidden="1" outlineLevel="1" x14ac:dyDescent="0.25">
      <c r="A150" s="238">
        <v>240031</v>
      </c>
      <c r="B150" s="239" t="s">
        <v>860</v>
      </c>
      <c r="C150" s="352" t="str">
        <f>IF(Tableau3453[[#This Row],[Date 
du paiement]]="",IF(Tableau3453[[#This Row],[Jours]]&gt;Tableau3453[[#This Row],[Conditions
pmt+]]+5,"oui",""),"")</f>
        <v/>
      </c>
      <c r="D150" s="238" t="s">
        <v>887</v>
      </c>
      <c r="E150" s="240">
        <v>45357</v>
      </c>
      <c r="F150" s="241">
        <v>758.05</v>
      </c>
      <c r="G150" s="242" t="str">
        <f>IF(Tableau3453[[#This Row],[Date 
du paiement]]="",Tableau3453[[#This Row],[Montant
de la facture
CHF]],"")</f>
        <v/>
      </c>
      <c r="H150" s="243"/>
      <c r="I150" s="245">
        <v>45357</v>
      </c>
      <c r="J150" s="246">
        <v>45426</v>
      </c>
      <c r="K150" s="247" t="s">
        <v>58</v>
      </c>
      <c r="L150" s="248">
        <v>2</v>
      </c>
      <c r="M150" s="248">
        <f>IF(Tableau3453[[#This Row],[Date 
du paiement]]="",$D$4-Tableau3453[[#This Row],[Date
de la facture]],Tableau3453[[#This Row],[Date 
du paiement]]-Tableau3453[[#This Row],[Date
de la facture]])</f>
        <v>69</v>
      </c>
      <c r="N150" s="241" t="str">
        <f>IF(Tableau3453[[#This Row],[Date 
du paiement]]="",IF(Tableau3453[[#This Row],[Jours]]&lt;30,Tableau3453[[#This Row],[Montant
de la facture
CHF]],""),"")</f>
        <v/>
      </c>
      <c r="O150" s="241" t="str">
        <f>IF(Tableau3453[[#This Row],[Date 
du paiement]]="",IF(Tableau3453[[#This Row],[Jours]]&gt;30,IF(Tableau3453[[#This Row],[Jours]]&lt;60,Tableau3453[[#This Row],[Montant
de la facture
CHF]],""),""),"")</f>
        <v/>
      </c>
      <c r="P150" s="241" t="str">
        <f>IF(Tableau3453[[#This Row],[Date 
du paiement]]="",IF(Tableau3453[[#This Row],[Jours]]&gt;60,Tableau3453[[#This Row],[Montant
de la facture
CHF]],""),"")</f>
        <v/>
      </c>
      <c r="Q150" s="249"/>
      <c r="R150" s="250" t="str">
        <f>Tableau3453[[#This Row],[Solde 
ouverte
fm]]</f>
        <v/>
      </c>
      <c r="S15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1" spans="1:19" hidden="1" outlineLevel="1" x14ac:dyDescent="0.25">
      <c r="A151" s="238">
        <v>240102</v>
      </c>
      <c r="B151" s="239" t="s">
        <v>860</v>
      </c>
      <c r="C151" s="352" t="str">
        <f>IF(Tableau3453[[#This Row],[Date 
du paiement]]="",IF(Tableau3453[[#This Row],[Jours]]&gt;Tableau3453[[#This Row],[Conditions
pmt+]]+5,"oui",""),"")</f>
        <v/>
      </c>
      <c r="D151" s="238" t="s">
        <v>887</v>
      </c>
      <c r="E151" s="240">
        <v>45357</v>
      </c>
      <c r="F151" s="241">
        <v>1460.95</v>
      </c>
      <c r="G151" s="242" t="str">
        <f>IF(Tableau3453[[#This Row],[Date 
du paiement]]="",Tableau3453[[#This Row],[Montant
de la facture
CHF]],"")</f>
        <v/>
      </c>
      <c r="H151" s="243" t="s">
        <v>930</v>
      </c>
      <c r="I151" s="245">
        <v>45364</v>
      </c>
      <c r="J151" s="246">
        <v>45394</v>
      </c>
      <c r="K151" s="247" t="s">
        <v>58</v>
      </c>
      <c r="L151" s="248"/>
      <c r="M151" s="248">
        <f>IF(Tableau3453[[#This Row],[Date 
du paiement]]="",$D$4-Tableau3453[[#This Row],[Date
de la facture]],Tableau3453[[#This Row],[Date 
du paiement]]-Tableau3453[[#This Row],[Date
de la facture]])</f>
        <v>37</v>
      </c>
      <c r="N151" s="241" t="str">
        <f>IF(Tableau3453[[#This Row],[Date 
du paiement]]="",IF(Tableau3453[[#This Row],[Jours]]&lt;30,Tableau3453[[#This Row],[Montant
de la facture
CHF]],""),"")</f>
        <v/>
      </c>
      <c r="O151" s="241" t="str">
        <f>IF(Tableau3453[[#This Row],[Date 
du paiement]]="",IF(Tableau3453[[#This Row],[Jours]]&gt;30,IF(Tableau3453[[#This Row],[Jours]]&lt;60,Tableau3453[[#This Row],[Montant
de la facture
CHF]],""),""),"")</f>
        <v/>
      </c>
      <c r="P151" s="241" t="str">
        <f>IF(Tableau3453[[#This Row],[Date 
du paiement]]="",IF(Tableau3453[[#This Row],[Jours]]&gt;60,Tableau3453[[#This Row],[Montant
de la facture
CHF]],""),"")</f>
        <v/>
      </c>
      <c r="Q151" s="249"/>
      <c r="R151" s="250" t="str">
        <f>Tableau3453[[#This Row],[Solde 
ouverte
fm]]</f>
        <v/>
      </c>
      <c r="S1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2" spans="1:19" hidden="1" outlineLevel="1" x14ac:dyDescent="0.25">
      <c r="A152" s="238">
        <v>230803</v>
      </c>
      <c r="B152" s="239" t="s">
        <v>860</v>
      </c>
      <c r="C152" s="352" t="str">
        <f>IF(Tableau3453[[#This Row],[Date 
du paiement]]="",IF(Tableau3453[[#This Row],[Jours]]&gt;Tableau3453[[#This Row],[Conditions
pmt+]]+5,"oui",""),"")</f>
        <v/>
      </c>
      <c r="D152" s="238" t="s">
        <v>943</v>
      </c>
      <c r="E152" s="240">
        <v>45357</v>
      </c>
      <c r="F152" s="241">
        <v>1922.1</v>
      </c>
      <c r="G152" s="242" t="str">
        <f>IF(Tableau3453[[#This Row],[Date 
du paiement]]="",Tableau3453[[#This Row],[Montant
de la facture
CHF]],"")</f>
        <v/>
      </c>
      <c r="H152" s="243"/>
      <c r="I152" s="245">
        <v>45364</v>
      </c>
      <c r="J152" s="246">
        <v>45390</v>
      </c>
      <c r="K152" s="247" t="s">
        <v>58</v>
      </c>
      <c r="L152" s="248"/>
      <c r="M152" s="248">
        <f>IF(Tableau3453[[#This Row],[Date 
du paiement]]="",$D$4-Tableau3453[[#This Row],[Date
de la facture]],Tableau3453[[#This Row],[Date 
du paiement]]-Tableau3453[[#This Row],[Date
de la facture]])</f>
        <v>33</v>
      </c>
      <c r="N152" s="241" t="str">
        <f>IF(Tableau3453[[#This Row],[Date 
du paiement]]="",IF(Tableau3453[[#This Row],[Jours]]&lt;30,Tableau3453[[#This Row],[Montant
de la facture
CHF]],""),"")</f>
        <v/>
      </c>
      <c r="O152" s="241" t="str">
        <f>IF(Tableau3453[[#This Row],[Date 
du paiement]]="",IF(Tableau3453[[#This Row],[Jours]]&gt;30,IF(Tableau3453[[#This Row],[Jours]]&lt;60,Tableau3453[[#This Row],[Montant
de la facture
CHF]],""),""),"")</f>
        <v/>
      </c>
      <c r="P152" s="241" t="str">
        <f>IF(Tableau3453[[#This Row],[Date 
du paiement]]="",IF(Tableau3453[[#This Row],[Jours]]&gt;60,Tableau3453[[#This Row],[Montant
de la facture
CHF]],""),"")</f>
        <v/>
      </c>
      <c r="Q152" s="249"/>
      <c r="R152" s="250" t="str">
        <f>Tableau3453[[#This Row],[Solde 
ouverte
fm]]</f>
        <v/>
      </c>
      <c r="S15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3" spans="1:19" hidden="1" outlineLevel="1" x14ac:dyDescent="0.25">
      <c r="A153" s="238">
        <v>240201</v>
      </c>
      <c r="B153" s="239" t="s">
        <v>860</v>
      </c>
      <c r="C153" s="352" t="str">
        <f>IF(Tableau3453[[#This Row],[Date 
du paiement]]="",IF(Tableau3453[[#This Row],[Jours]]&gt;Tableau3453[[#This Row],[Conditions
pmt+]]+5,"oui",""),"")</f>
        <v/>
      </c>
      <c r="D153" s="238" t="s">
        <v>880</v>
      </c>
      <c r="E153" s="240">
        <v>45357</v>
      </c>
      <c r="F153" s="241">
        <v>2079.25</v>
      </c>
      <c r="G153" s="242" t="str">
        <f>IF(Tableau3453[[#This Row],[Date 
du paiement]]="",Tableau3453[[#This Row],[Montant
de la facture
CHF]],"")</f>
        <v/>
      </c>
      <c r="H153" s="243"/>
      <c r="I153" s="245">
        <v>45364</v>
      </c>
      <c r="J153" s="246">
        <v>45387</v>
      </c>
      <c r="K153" s="247" t="s">
        <v>58</v>
      </c>
      <c r="L153" s="248"/>
      <c r="M153" s="248">
        <f>IF(Tableau3453[[#This Row],[Date 
du paiement]]="",$D$4-Tableau3453[[#This Row],[Date
de la facture]],Tableau3453[[#This Row],[Date 
du paiement]]-Tableau3453[[#This Row],[Date
de la facture]])</f>
        <v>30</v>
      </c>
      <c r="N153" s="241" t="str">
        <f>IF(Tableau3453[[#This Row],[Date 
du paiement]]="",IF(Tableau3453[[#This Row],[Jours]]&lt;30,Tableau3453[[#This Row],[Montant
de la facture
CHF]],""),"")</f>
        <v/>
      </c>
      <c r="O153" s="241" t="str">
        <f>IF(Tableau3453[[#This Row],[Date 
du paiement]]="",IF(Tableau3453[[#This Row],[Jours]]&gt;30,IF(Tableau3453[[#This Row],[Jours]]&lt;60,Tableau3453[[#This Row],[Montant
de la facture
CHF]],""),""),"")</f>
        <v/>
      </c>
      <c r="P153" s="241" t="str">
        <f>IF(Tableau3453[[#This Row],[Date 
du paiement]]="",IF(Tableau3453[[#This Row],[Jours]]&gt;60,Tableau3453[[#This Row],[Montant
de la facture
CHF]],""),"")</f>
        <v/>
      </c>
      <c r="Q153" s="249"/>
      <c r="R153" s="250" t="str">
        <f>Tableau3453[[#This Row],[Solde 
ouverte
fm]]</f>
        <v/>
      </c>
      <c r="S15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4" spans="1:19" hidden="1" outlineLevel="1" x14ac:dyDescent="0.25">
      <c r="A154" s="238">
        <v>230815</v>
      </c>
      <c r="B154" s="239" t="s">
        <v>860</v>
      </c>
      <c r="C154" s="352" t="str">
        <f>IF(Tableau3453[[#This Row],[Date 
du paiement]]="",IF(Tableau3453[[#This Row],[Jours]]&gt;Tableau3453[[#This Row],[Conditions
pmt+]]+5,"oui",""),"")</f>
        <v/>
      </c>
      <c r="D154" s="251" t="s">
        <v>885</v>
      </c>
      <c r="E154" s="240">
        <v>45357</v>
      </c>
      <c r="F154" s="241">
        <v>29.2</v>
      </c>
      <c r="G154" s="242" t="str">
        <f>IF(Tableau3453[[#This Row],[Date 
du paiement]]="",Tableau3453[[#This Row],[Montant
de la facture
CHF]],"")</f>
        <v/>
      </c>
      <c r="H154" s="243" t="s">
        <v>944</v>
      </c>
      <c r="I154" s="245">
        <v>45370</v>
      </c>
      <c r="J154" s="246">
        <v>45370</v>
      </c>
      <c r="K154" s="247" t="s">
        <v>945</v>
      </c>
      <c r="L154" s="248"/>
      <c r="M154" s="248">
        <f>IF(Tableau3453[[#This Row],[Date 
du paiement]]="",$D$4-Tableau3453[[#This Row],[Date
de la facture]],Tableau3453[[#This Row],[Date 
du paiement]]-Tableau3453[[#This Row],[Date
de la facture]])</f>
        <v>13</v>
      </c>
      <c r="N154" s="241" t="str">
        <f>IF(Tableau3453[[#This Row],[Date 
du paiement]]="",IF(Tableau3453[[#This Row],[Jours]]&lt;30,Tableau3453[[#This Row],[Montant
de la facture
CHF]],""),"")</f>
        <v/>
      </c>
      <c r="O154" s="241" t="str">
        <f>IF(Tableau3453[[#This Row],[Date 
du paiement]]="",IF(Tableau3453[[#This Row],[Jours]]&gt;30,IF(Tableau3453[[#This Row],[Jours]]&lt;60,Tableau3453[[#This Row],[Montant
de la facture
CHF]],""),""),"")</f>
        <v/>
      </c>
      <c r="P154" s="241" t="str">
        <f>IF(Tableau3453[[#This Row],[Date 
du paiement]]="",IF(Tableau3453[[#This Row],[Jours]]&gt;60,Tableau3453[[#This Row],[Montant
de la facture
CHF]],""),"")</f>
        <v/>
      </c>
      <c r="Q154" s="249"/>
      <c r="R154" s="250" t="str">
        <f>Tableau3453[[#This Row],[Solde 
ouverte
fm]]</f>
        <v/>
      </c>
      <c r="S1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5" spans="1:19" hidden="1" outlineLevel="1" x14ac:dyDescent="0.25">
      <c r="A155" s="238">
        <v>240023</v>
      </c>
      <c r="B155" s="239" t="s">
        <v>860</v>
      </c>
      <c r="C155" s="352" t="str">
        <f>IF(Tableau3453[[#This Row],[Date 
du paiement]]="",IF(Tableau3453[[#This Row],[Jours]]&gt;Tableau3453[[#This Row],[Conditions
pmt+]]+5,"oui",""),"")</f>
        <v/>
      </c>
      <c r="D155" s="238" t="s">
        <v>881</v>
      </c>
      <c r="E155" s="240">
        <v>45357</v>
      </c>
      <c r="F155" s="241">
        <v>26.45</v>
      </c>
      <c r="G155" s="242" t="str">
        <f>IF(Tableau3453[[#This Row],[Date 
du paiement]]="",Tableau3453[[#This Row],[Montant
de la facture
CHF]],"")</f>
        <v/>
      </c>
      <c r="H155" s="243" t="s">
        <v>946</v>
      </c>
      <c r="I155" s="245">
        <v>45363</v>
      </c>
      <c r="J155" s="246">
        <v>45366</v>
      </c>
      <c r="K155" s="247" t="s">
        <v>58</v>
      </c>
      <c r="L155" s="248"/>
      <c r="M155" s="248">
        <f>IF(Tableau3453[[#This Row],[Date 
du paiement]]="",$D$4-Tableau3453[[#This Row],[Date
de la facture]],Tableau3453[[#This Row],[Date 
du paiement]]-Tableau3453[[#This Row],[Date
de la facture]])</f>
        <v>9</v>
      </c>
      <c r="N155" s="241" t="str">
        <f>IF(Tableau3453[[#This Row],[Date 
du paiement]]="",IF(Tableau3453[[#This Row],[Jours]]&lt;30,Tableau3453[[#This Row],[Montant
de la facture
CHF]],""),"")</f>
        <v/>
      </c>
      <c r="O155" s="241" t="str">
        <f>IF(Tableau3453[[#This Row],[Date 
du paiement]]="",IF(Tableau3453[[#This Row],[Jours]]&gt;30,IF(Tableau3453[[#This Row],[Jours]]&lt;60,Tableau3453[[#This Row],[Montant
de la facture
CHF]],""),""),"")</f>
        <v/>
      </c>
      <c r="P155" s="241" t="str">
        <f>IF(Tableau3453[[#This Row],[Date 
du paiement]]="",IF(Tableau3453[[#This Row],[Jours]]&gt;60,Tableau3453[[#This Row],[Montant
de la facture
CHF]],""),"")</f>
        <v/>
      </c>
      <c r="Q155" s="249"/>
      <c r="R155" s="250" t="str">
        <f>Tableau3453[[#This Row],[Solde 
ouverte
fm]]</f>
        <v/>
      </c>
      <c r="S1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6" spans="1:19" hidden="1" outlineLevel="1" x14ac:dyDescent="0.25">
      <c r="A156" s="238">
        <v>240023</v>
      </c>
      <c r="B156" s="239" t="s">
        <v>860</v>
      </c>
      <c r="C156" s="352" t="str">
        <f>IF(Tableau3453[[#This Row],[Date 
du paiement]]="",IF(Tableau3453[[#This Row],[Jours]]&gt;Tableau3453[[#This Row],[Conditions
pmt+]]+5,"oui",""),"")</f>
        <v/>
      </c>
      <c r="D156" s="238" t="s">
        <v>881</v>
      </c>
      <c r="E156" s="240">
        <v>45357</v>
      </c>
      <c r="F156" s="241">
        <f>970.45-26.45</f>
        <v>944</v>
      </c>
      <c r="G156" s="242" t="str">
        <f>IF(Tableau3453[[#This Row],[Date 
du paiement]]="",Tableau3453[[#This Row],[Montant
de la facture
CHF]],"")</f>
        <v/>
      </c>
      <c r="H156" s="243" t="s">
        <v>946</v>
      </c>
      <c r="I156" s="245">
        <v>45363</v>
      </c>
      <c r="J156" s="246">
        <v>45294</v>
      </c>
      <c r="K156" s="247" t="s">
        <v>58</v>
      </c>
      <c r="L156" s="256"/>
      <c r="M156" s="248">
        <f>IF(Tableau3453[[#This Row],[Date 
du paiement]]="",$D$4-Tableau3453[[#This Row],[Date
de la facture]],Tableau3453[[#This Row],[Date 
du paiement]]-Tableau3453[[#This Row],[Date
de la facture]])</f>
        <v>-63</v>
      </c>
      <c r="N156" s="241" t="str">
        <f>IF(Tableau3453[[#This Row],[Date 
du paiement]]="",IF(Tableau3453[[#This Row],[Jours]]&lt;30,Tableau3453[[#This Row],[Montant
de la facture
CHF]],""),"")</f>
        <v/>
      </c>
      <c r="O156" s="241" t="str">
        <f>IF(Tableau3453[[#This Row],[Date 
du paiement]]="",IF(Tableau3453[[#This Row],[Jours]]&gt;30,IF(Tableau3453[[#This Row],[Jours]]&lt;60,Tableau3453[[#This Row],[Montant
de la facture
CHF]],""),""),"")</f>
        <v/>
      </c>
      <c r="P156" s="241" t="str">
        <f>IF(Tableau3453[[#This Row],[Date 
du paiement]]="",IF(Tableau3453[[#This Row],[Jours]]&gt;60,Tableau3453[[#This Row],[Montant
de la facture
CHF]],""),"")</f>
        <v/>
      </c>
      <c r="Q156" s="249"/>
      <c r="R156" s="267" t="str">
        <f>Tableau3453[[#This Row],[Solde 
ouverte
fm]]</f>
        <v/>
      </c>
      <c r="S15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7" spans="1:19" hidden="1" outlineLevel="1" x14ac:dyDescent="0.25">
      <c r="A157" s="238">
        <v>240215</v>
      </c>
      <c r="B157" s="239" t="s">
        <v>860</v>
      </c>
      <c r="C157" s="352" t="str">
        <f>IF(Tableau3453[[#This Row],[Date 
du paiement]]="",IF(Tableau3453[[#This Row],[Jours]]&gt;Tableau3453[[#This Row],[Conditions
pmt+]]+5,"oui",""),"")</f>
        <v/>
      </c>
      <c r="D157" s="238" t="s">
        <v>947</v>
      </c>
      <c r="E157" s="240">
        <v>45358</v>
      </c>
      <c r="F157" s="241">
        <v>4834.8999999999996</v>
      </c>
      <c r="G157" s="242" t="str">
        <f>IF(Tableau3453[[#This Row],[Date 
du paiement]]="",Tableau3453[[#This Row],[Montant
de la facture
CHF]],"")</f>
        <v/>
      </c>
      <c r="H157" s="243"/>
      <c r="I157" s="245">
        <v>45364</v>
      </c>
      <c r="J157" s="246">
        <v>45401</v>
      </c>
      <c r="K157" s="247" t="s">
        <v>58</v>
      </c>
      <c r="L157" s="248"/>
      <c r="M157" s="248">
        <f>IF(Tableau3453[[#This Row],[Date 
du paiement]]="",$D$4-Tableau3453[[#This Row],[Date
de la facture]],Tableau3453[[#This Row],[Date 
du paiement]]-Tableau3453[[#This Row],[Date
de la facture]])</f>
        <v>43</v>
      </c>
      <c r="N157" s="241" t="str">
        <f>IF(Tableau3453[[#This Row],[Date 
du paiement]]="",IF(Tableau3453[[#This Row],[Jours]]&lt;30,Tableau3453[[#This Row],[Montant
de la facture
CHF]],""),"")</f>
        <v/>
      </c>
      <c r="O157" s="241" t="str">
        <f>IF(Tableau3453[[#This Row],[Date 
du paiement]]="",IF(Tableau3453[[#This Row],[Jours]]&gt;30,IF(Tableau3453[[#This Row],[Jours]]&lt;60,Tableau3453[[#This Row],[Montant
de la facture
CHF]],""),""),"")</f>
        <v/>
      </c>
      <c r="P157" s="241" t="str">
        <f>IF(Tableau3453[[#This Row],[Date 
du paiement]]="",IF(Tableau3453[[#This Row],[Jours]]&gt;60,Tableau3453[[#This Row],[Montant
de la facture
CHF]],""),"")</f>
        <v/>
      </c>
      <c r="Q157" s="249"/>
      <c r="R157" s="250" t="str">
        <f>Tableau3453[[#This Row],[Solde 
ouverte
fm]]</f>
        <v/>
      </c>
      <c r="S15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8" spans="1:19" hidden="1" outlineLevel="1" x14ac:dyDescent="0.25">
      <c r="A158" s="238">
        <v>240229</v>
      </c>
      <c r="B158" s="239" t="s">
        <v>860</v>
      </c>
      <c r="C158" s="352" t="str">
        <f>IF(Tableau3453[[#This Row],[Date 
du paiement]]="",IF(Tableau3453[[#This Row],[Jours]]&gt;Tableau3453[[#This Row],[Conditions
pmt+]]+5,"oui",""),"")</f>
        <v/>
      </c>
      <c r="D158" s="238" t="s">
        <v>899</v>
      </c>
      <c r="E158" s="240">
        <v>45358</v>
      </c>
      <c r="F158" s="241">
        <v>5546.85</v>
      </c>
      <c r="G158" s="242" t="str">
        <f>IF(Tableau3453[[#This Row],[Date 
du paiement]]="",Tableau3453[[#This Row],[Montant
de la facture
CHF]],"")</f>
        <v/>
      </c>
      <c r="H158" s="243"/>
      <c r="I158" s="245">
        <v>45364</v>
      </c>
      <c r="J158" s="246">
        <v>45397</v>
      </c>
      <c r="K158" s="247" t="s">
        <v>58</v>
      </c>
      <c r="L158" s="248"/>
      <c r="M158" s="248">
        <f>IF(Tableau3453[[#This Row],[Date 
du paiement]]="",$D$4-Tableau3453[[#This Row],[Date
de la facture]],Tableau3453[[#This Row],[Date 
du paiement]]-Tableau3453[[#This Row],[Date
de la facture]])</f>
        <v>39</v>
      </c>
      <c r="N158" s="241" t="str">
        <f>IF(Tableau3453[[#This Row],[Date 
du paiement]]="",IF(Tableau3453[[#This Row],[Jours]]&lt;30,Tableau3453[[#This Row],[Montant
de la facture
CHF]],""),"")</f>
        <v/>
      </c>
      <c r="O158" s="241" t="str">
        <f>IF(Tableau3453[[#This Row],[Date 
du paiement]]="",IF(Tableau3453[[#This Row],[Jours]]&gt;30,IF(Tableau3453[[#This Row],[Jours]]&lt;60,Tableau3453[[#This Row],[Montant
de la facture
CHF]],""),""),"")</f>
        <v/>
      </c>
      <c r="P158" s="241" t="str">
        <f>IF(Tableau3453[[#This Row],[Date 
du paiement]]="",IF(Tableau3453[[#This Row],[Jours]]&gt;60,Tableau3453[[#This Row],[Montant
de la facture
CHF]],""),"")</f>
        <v/>
      </c>
      <c r="Q158" s="249"/>
      <c r="R158" s="250" t="str">
        <f>Tableau3453[[#This Row],[Solde 
ouverte
fm]]</f>
        <v/>
      </c>
      <c r="S15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59" spans="1:19" hidden="1" outlineLevel="1" x14ac:dyDescent="0.25">
      <c r="A159" s="238">
        <v>240210</v>
      </c>
      <c r="B159" s="239" t="s">
        <v>860</v>
      </c>
      <c r="C159" s="352" t="str">
        <f>IF(Tableau3453[[#This Row],[Date 
du paiement]]="",IF(Tableau3453[[#This Row],[Jours]]&gt;Tableau3453[[#This Row],[Conditions
pmt+]]+5,"oui",""),"")</f>
        <v/>
      </c>
      <c r="D159" s="238" t="s">
        <v>867</v>
      </c>
      <c r="E159" s="240">
        <v>45358</v>
      </c>
      <c r="F159" s="241">
        <v>2680.1</v>
      </c>
      <c r="G159" s="242" t="str">
        <f>IF(Tableau3453[[#This Row],[Date 
du paiement]]="",Tableau3453[[#This Row],[Montant
de la facture
CHF]],"")</f>
        <v/>
      </c>
      <c r="H159" s="243"/>
      <c r="I159" s="245">
        <v>45364</v>
      </c>
      <c r="J159" s="246">
        <v>45394</v>
      </c>
      <c r="K159" s="247" t="s">
        <v>58</v>
      </c>
      <c r="L159" s="248"/>
      <c r="M159" s="248">
        <f>IF(Tableau3453[[#This Row],[Date 
du paiement]]="",$D$4-Tableau3453[[#This Row],[Date
de la facture]],Tableau3453[[#This Row],[Date 
du paiement]]-Tableau3453[[#This Row],[Date
de la facture]])</f>
        <v>36</v>
      </c>
      <c r="N159" s="241" t="str">
        <f>IF(Tableau3453[[#This Row],[Date 
du paiement]]="",IF(Tableau3453[[#This Row],[Jours]]&lt;30,Tableau3453[[#This Row],[Montant
de la facture
CHF]],""),"")</f>
        <v/>
      </c>
      <c r="O159" s="241" t="str">
        <f>IF(Tableau3453[[#This Row],[Date 
du paiement]]="",IF(Tableau3453[[#This Row],[Jours]]&gt;30,IF(Tableau3453[[#This Row],[Jours]]&lt;60,Tableau3453[[#This Row],[Montant
de la facture
CHF]],""),""),"")</f>
        <v/>
      </c>
      <c r="P159" s="241" t="str">
        <f>IF(Tableau3453[[#This Row],[Date 
du paiement]]="",IF(Tableau3453[[#This Row],[Jours]]&gt;60,Tableau3453[[#This Row],[Montant
de la facture
CHF]],""),"")</f>
        <v/>
      </c>
      <c r="Q159" s="249"/>
      <c r="R159" s="250" t="str">
        <f>Tableau3453[[#This Row],[Solde 
ouverte
fm]]</f>
        <v/>
      </c>
      <c r="S1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0" spans="1:19" hidden="1" outlineLevel="1" x14ac:dyDescent="0.25">
      <c r="A160" s="238">
        <v>240235</v>
      </c>
      <c r="B160" s="239" t="s">
        <v>860</v>
      </c>
      <c r="C160" s="352" t="str">
        <f>IF(Tableau3453[[#This Row],[Date 
du paiement]]="",IF(Tableau3453[[#This Row],[Jours]]&gt;Tableau3453[[#This Row],[Conditions
pmt+]]+5,"oui",""),"")</f>
        <v/>
      </c>
      <c r="D160" s="238" t="s">
        <v>887</v>
      </c>
      <c r="E160" s="240">
        <v>45359</v>
      </c>
      <c r="F160" s="241">
        <f>1080.65-322.6</f>
        <v>758.05000000000007</v>
      </c>
      <c r="G160" s="242" t="str">
        <f>IF(Tableau3453[[#This Row],[Date 
du paiement]]="",Tableau3453[[#This Row],[Montant
de la facture
CHF]],"")</f>
        <v/>
      </c>
      <c r="H160" s="243" t="s">
        <v>952</v>
      </c>
      <c r="I160" s="245">
        <v>45364</v>
      </c>
      <c r="J160" s="246">
        <v>45453</v>
      </c>
      <c r="K160" s="247" t="s">
        <v>58</v>
      </c>
      <c r="L160" s="255">
        <v>3</v>
      </c>
      <c r="M160" s="248">
        <f>IF(Tableau3453[[#This Row],[Date 
du paiement]]="",$D$4-Tableau3453[[#This Row],[Date
de la facture]],Tableau3453[[#This Row],[Date 
du paiement]]-Tableau3453[[#This Row],[Date
de la facture]])</f>
        <v>94</v>
      </c>
      <c r="N160" s="241" t="str">
        <f>IF(Tableau3453[[#This Row],[Date 
du paiement]]="",IF(Tableau3453[[#This Row],[Jours]]&lt;30,Tableau3453[[#This Row],[Montant
de la facture
CHF]],""),"")</f>
        <v/>
      </c>
      <c r="O160" s="241" t="str">
        <f>IF(Tableau3453[[#This Row],[Date 
du paiement]]="",IF(Tableau3453[[#This Row],[Jours]]&gt;30,IF(Tableau3453[[#This Row],[Jours]]&lt;60,Tableau3453[[#This Row],[Montant
de la facture
CHF]],""),""),"")</f>
        <v/>
      </c>
      <c r="P160" s="241" t="str">
        <f>IF(Tableau3453[[#This Row],[Date 
du paiement]]="",IF(Tableau3453[[#This Row],[Jours]]&gt;60,Tableau3453[[#This Row],[Montant
de la facture
CHF]],""),"")</f>
        <v/>
      </c>
      <c r="Q160" s="249"/>
      <c r="R160" s="250" t="str">
        <f>Tableau3453[[#This Row],[Solde 
ouverte
fm]]</f>
        <v/>
      </c>
      <c r="S16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1" spans="1:19" hidden="1" outlineLevel="1" x14ac:dyDescent="0.25">
      <c r="A161" s="238">
        <v>240088</v>
      </c>
      <c r="B161" s="239" t="s">
        <v>857</v>
      </c>
      <c r="C161" s="352" t="str">
        <f>IF(Tableau3453[[#This Row],[Date 
du paiement]]="",IF(Tableau3453[[#This Row],[Jours]]&gt;Tableau3453[[#This Row],[Conditions
pmt+]]+5,"oui",""),"")</f>
        <v/>
      </c>
      <c r="D161" s="251" t="s">
        <v>865</v>
      </c>
      <c r="E161" s="240">
        <v>45359</v>
      </c>
      <c r="F161" s="241">
        <v>1567.35</v>
      </c>
      <c r="G161" s="242" t="str">
        <f>IF(Tableau3453[[#This Row],[Date 
du paiement]]="",Tableau3453[[#This Row],[Montant
de la facture
CHF]],"")</f>
        <v/>
      </c>
      <c r="H161" s="243" t="s">
        <v>948</v>
      </c>
      <c r="I161" s="245">
        <v>45364</v>
      </c>
      <c r="J161" s="246">
        <v>45442</v>
      </c>
      <c r="K161" s="247" t="s">
        <v>58</v>
      </c>
      <c r="L161" s="248">
        <v>1</v>
      </c>
      <c r="M161" s="248">
        <f>IF(Tableau3453[[#This Row],[Date 
du paiement]]="",$D$4-Tableau3453[[#This Row],[Date
de la facture]],Tableau3453[[#This Row],[Date 
du paiement]]-Tableau3453[[#This Row],[Date
de la facture]])</f>
        <v>83</v>
      </c>
      <c r="N161" s="241" t="str">
        <f>IF(Tableau3453[[#This Row],[Date 
du paiement]]="",IF(Tableau3453[[#This Row],[Jours]]&lt;30,Tableau3453[[#This Row],[Montant
de la facture
CHF]],""),"")</f>
        <v/>
      </c>
      <c r="O161" s="241" t="str">
        <f>IF(Tableau3453[[#This Row],[Date 
du paiement]]="",IF(Tableau3453[[#This Row],[Jours]]&gt;30,IF(Tableau3453[[#This Row],[Jours]]&lt;60,Tableau3453[[#This Row],[Montant
de la facture
CHF]],""),""),"")</f>
        <v/>
      </c>
      <c r="P161" s="241" t="str">
        <f>IF(Tableau3453[[#This Row],[Date 
du paiement]]="",IF(Tableau3453[[#This Row],[Jours]]&gt;60,Tableau3453[[#This Row],[Montant
de la facture
CHF]],""),"")</f>
        <v/>
      </c>
      <c r="Q161" s="249"/>
      <c r="R161" s="250" t="str">
        <f>Tableau3453[[#This Row],[Solde 
ouverte
fm]]</f>
        <v/>
      </c>
      <c r="S16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2" spans="1:19" hidden="1" outlineLevel="1" x14ac:dyDescent="0.25">
      <c r="A162" s="238">
        <v>240219</v>
      </c>
      <c r="B162" s="239" t="s">
        <v>857</v>
      </c>
      <c r="C162" s="352" t="str">
        <f>IF(Tableau3453[[#This Row],[Date 
du paiement]]="",IF(Tableau3453[[#This Row],[Jours]]&gt;Tableau3453[[#This Row],[Conditions
pmt+]]+5,"oui",""),"")</f>
        <v/>
      </c>
      <c r="D162" s="251" t="s">
        <v>865</v>
      </c>
      <c r="E162" s="240">
        <v>45359</v>
      </c>
      <c r="F162" s="241">
        <v>978.6</v>
      </c>
      <c r="G162" s="242" t="str">
        <f>IF(Tableau3453[[#This Row],[Date 
du paiement]]="",Tableau3453[[#This Row],[Montant
de la facture
CHF]],"")</f>
        <v/>
      </c>
      <c r="H162" s="243" t="s">
        <v>949</v>
      </c>
      <c r="I162" s="245">
        <v>45359</v>
      </c>
      <c r="J162" s="246">
        <v>45420</v>
      </c>
      <c r="K162" s="247" t="s">
        <v>58</v>
      </c>
      <c r="L162" s="248"/>
      <c r="M162" s="248">
        <f>IF(Tableau3453[[#This Row],[Date 
du paiement]]="",$D$4-Tableau3453[[#This Row],[Date
de la facture]],Tableau3453[[#This Row],[Date 
du paiement]]-Tableau3453[[#This Row],[Date
de la facture]])</f>
        <v>61</v>
      </c>
      <c r="N162" s="241" t="str">
        <f>IF(Tableau3453[[#This Row],[Date 
du paiement]]="",IF(Tableau3453[[#This Row],[Jours]]&lt;30,Tableau3453[[#This Row],[Montant
de la facture
CHF]],""),"")</f>
        <v/>
      </c>
      <c r="O162" s="241" t="str">
        <f>IF(Tableau3453[[#This Row],[Date 
du paiement]]="",IF(Tableau3453[[#This Row],[Jours]]&gt;30,IF(Tableau3453[[#This Row],[Jours]]&lt;60,Tableau3453[[#This Row],[Montant
de la facture
CHF]],""),""),"")</f>
        <v/>
      </c>
      <c r="P162" s="241" t="str">
        <f>IF(Tableau3453[[#This Row],[Date 
du paiement]]="",IF(Tableau3453[[#This Row],[Jours]]&gt;60,Tableau3453[[#This Row],[Montant
de la facture
CHF]],""),"")</f>
        <v/>
      </c>
      <c r="Q162" s="249"/>
      <c r="R162" s="250" t="str">
        <f>Tableau3453[[#This Row],[Solde 
ouverte
fm]]</f>
        <v/>
      </c>
      <c r="S16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3" spans="1:19" hidden="1" outlineLevel="1" x14ac:dyDescent="0.25">
      <c r="A163" s="238">
        <v>240232</v>
      </c>
      <c r="B163" s="239" t="s">
        <v>860</v>
      </c>
      <c r="C163" s="352" t="str">
        <f>IF(Tableau3453[[#This Row],[Date 
du paiement]]="",IF(Tableau3453[[#This Row],[Jours]]&gt;Tableau3453[[#This Row],[Conditions
pmt+]]+5,"oui",""),"")</f>
        <v/>
      </c>
      <c r="D163" s="238" t="s">
        <v>872</v>
      </c>
      <c r="E163" s="240">
        <v>45359</v>
      </c>
      <c r="F163" s="241">
        <v>1778.45</v>
      </c>
      <c r="G163" s="242" t="str">
        <f>IF(Tableau3453[[#This Row],[Date 
du paiement]]="",Tableau3453[[#This Row],[Montant
de la facture
CHF]],"")</f>
        <v/>
      </c>
      <c r="H163" s="243"/>
      <c r="I163" s="245">
        <v>45364</v>
      </c>
      <c r="J163" s="246">
        <v>45400</v>
      </c>
      <c r="K163" s="247" t="s">
        <v>58</v>
      </c>
      <c r="L163" s="248"/>
      <c r="M163" s="248">
        <f>IF(Tableau3453[[#This Row],[Date 
du paiement]]="",$D$4-Tableau3453[[#This Row],[Date
de la facture]],Tableau3453[[#This Row],[Date 
du paiement]]-Tableau3453[[#This Row],[Date
de la facture]])</f>
        <v>41</v>
      </c>
      <c r="N163" s="241" t="str">
        <f>IF(Tableau3453[[#This Row],[Date 
du paiement]]="",IF(Tableau3453[[#This Row],[Jours]]&lt;30,Tableau3453[[#This Row],[Montant
de la facture
CHF]],""),"")</f>
        <v/>
      </c>
      <c r="O163" s="241" t="str">
        <f>IF(Tableau3453[[#This Row],[Date 
du paiement]]="",IF(Tableau3453[[#This Row],[Jours]]&gt;30,IF(Tableau3453[[#This Row],[Jours]]&lt;60,Tableau3453[[#This Row],[Montant
de la facture
CHF]],""),""),"")</f>
        <v/>
      </c>
      <c r="P163" s="241" t="str">
        <f>IF(Tableau3453[[#This Row],[Date 
du paiement]]="",IF(Tableau3453[[#This Row],[Jours]]&gt;60,Tableau3453[[#This Row],[Montant
de la facture
CHF]],""),"")</f>
        <v/>
      </c>
      <c r="Q163" s="249"/>
      <c r="R163" s="250" t="str">
        <f>Tableau3453[[#This Row],[Solde 
ouverte
fm]]</f>
        <v/>
      </c>
      <c r="S1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4" spans="1:19" hidden="1" outlineLevel="1" x14ac:dyDescent="0.25">
      <c r="A164" s="238">
        <v>240027</v>
      </c>
      <c r="B164" s="239" t="s">
        <v>860</v>
      </c>
      <c r="C164" s="352" t="str">
        <f>IF(Tableau3453[[#This Row],[Date 
du paiement]]="",IF(Tableau3453[[#This Row],[Jours]]&gt;Tableau3453[[#This Row],[Conditions
pmt+]]+5,"oui",""),"")</f>
        <v/>
      </c>
      <c r="D164" s="238" t="s">
        <v>950</v>
      </c>
      <c r="E164" s="240">
        <v>45359</v>
      </c>
      <c r="F164" s="241">
        <v>3954.85</v>
      </c>
      <c r="G164" s="242" t="str">
        <f>IF(Tableau3453[[#This Row],[Date 
du paiement]]="",Tableau3453[[#This Row],[Montant
de la facture
CHF]],"")</f>
        <v/>
      </c>
      <c r="H164" s="243"/>
      <c r="I164" s="245">
        <v>45364</v>
      </c>
      <c r="J164" s="246">
        <v>45397</v>
      </c>
      <c r="K164" s="247" t="s">
        <v>58</v>
      </c>
      <c r="L164" s="248"/>
      <c r="M164" s="248">
        <f>IF(Tableau3453[[#This Row],[Date 
du paiement]]="",$D$4-Tableau3453[[#This Row],[Date
de la facture]],Tableau3453[[#This Row],[Date 
du paiement]]-Tableau3453[[#This Row],[Date
de la facture]])</f>
        <v>38</v>
      </c>
      <c r="N164" s="241" t="str">
        <f>IF(Tableau3453[[#This Row],[Date 
du paiement]]="",IF(Tableau3453[[#This Row],[Jours]]&lt;30,Tableau3453[[#This Row],[Montant
de la facture
CHF]],""),"")</f>
        <v/>
      </c>
      <c r="O164" s="241" t="str">
        <f>IF(Tableau3453[[#This Row],[Date 
du paiement]]="",IF(Tableau3453[[#This Row],[Jours]]&gt;30,IF(Tableau3453[[#This Row],[Jours]]&lt;60,Tableau3453[[#This Row],[Montant
de la facture
CHF]],""),""),"")</f>
        <v/>
      </c>
      <c r="P164" s="241" t="str">
        <f>IF(Tableau3453[[#This Row],[Date 
du paiement]]="",IF(Tableau3453[[#This Row],[Jours]]&gt;60,Tableau3453[[#This Row],[Montant
de la facture
CHF]],""),"")</f>
        <v/>
      </c>
      <c r="Q164" s="249"/>
      <c r="R164" s="250" t="str">
        <f>Tableau3453[[#This Row],[Solde 
ouverte
fm]]</f>
        <v/>
      </c>
      <c r="S16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5" spans="1:19" hidden="1" outlineLevel="1" x14ac:dyDescent="0.25">
      <c r="A165" s="238">
        <v>240235</v>
      </c>
      <c r="B165" s="239" t="s">
        <v>860</v>
      </c>
      <c r="C165" s="352" t="str">
        <f>IF(Tableau3453[[#This Row],[Date 
du paiement]]="",IF(Tableau3453[[#This Row],[Jours]]&gt;Tableau3453[[#This Row],[Conditions
pmt+]]+5,"oui",""),"")</f>
        <v/>
      </c>
      <c r="D165" s="238" t="s">
        <v>887</v>
      </c>
      <c r="E165" s="240">
        <v>45359</v>
      </c>
      <c r="F165" s="241">
        <f>1080.65-758.05</f>
        <v>322.60000000000014</v>
      </c>
      <c r="G165" s="242" t="str">
        <f>IF(Tableau3453[[#This Row],[Date 
du paiement]]="",Tableau3453[[#This Row],[Montant
de la facture
CHF]],"")</f>
        <v/>
      </c>
      <c r="H165" s="243" t="s">
        <v>930</v>
      </c>
      <c r="I165" s="245">
        <v>45364</v>
      </c>
      <c r="J165" s="246">
        <v>45394</v>
      </c>
      <c r="K165" s="247" t="s">
        <v>58</v>
      </c>
      <c r="L165" s="248"/>
      <c r="M165" s="248">
        <f>IF(Tableau3453[[#This Row],[Date 
du paiement]]="",$D$4-Tableau3453[[#This Row],[Date
de la facture]],Tableau3453[[#This Row],[Date 
du paiement]]-Tableau3453[[#This Row],[Date
de la facture]])</f>
        <v>35</v>
      </c>
      <c r="N165" s="241" t="str">
        <f>IF(Tableau3453[[#This Row],[Date 
du paiement]]="",IF(Tableau3453[[#This Row],[Jours]]&lt;30,Tableau3453[[#This Row],[Montant
de la facture
CHF]],""),"")</f>
        <v/>
      </c>
      <c r="O165" s="241" t="str">
        <f>IF(Tableau3453[[#This Row],[Date 
du paiement]]="",IF(Tableau3453[[#This Row],[Jours]]&gt;30,IF(Tableau3453[[#This Row],[Jours]]&lt;60,Tableau3453[[#This Row],[Montant
de la facture
CHF]],""),""),"")</f>
        <v/>
      </c>
      <c r="P165" s="241" t="str">
        <f>IF(Tableau3453[[#This Row],[Date 
du paiement]]="",IF(Tableau3453[[#This Row],[Jours]]&gt;60,Tableau3453[[#This Row],[Montant
de la facture
CHF]],""),"")</f>
        <v/>
      </c>
      <c r="Q165" s="249"/>
      <c r="R165" s="250" t="str">
        <f>Tableau3453[[#This Row],[Solde 
ouverte
fm]]</f>
        <v/>
      </c>
      <c r="S16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6" spans="1:19" hidden="1" outlineLevel="1" x14ac:dyDescent="0.25">
      <c r="A166" s="238">
        <v>240238</v>
      </c>
      <c r="B166" s="239" t="s">
        <v>860</v>
      </c>
      <c r="C166" s="352" t="str">
        <f>IF(Tableau3453[[#This Row],[Date 
du paiement]]="",IF(Tableau3453[[#This Row],[Jours]]&gt;Tableau3453[[#This Row],[Conditions
pmt+]]+5,"oui",""),"")</f>
        <v/>
      </c>
      <c r="D166" s="238" t="s">
        <v>880</v>
      </c>
      <c r="E166" s="240">
        <v>45359</v>
      </c>
      <c r="F166" s="241">
        <v>238.85</v>
      </c>
      <c r="G166" s="242" t="str">
        <f>IF(Tableau3453[[#This Row],[Date 
du paiement]]="",Tableau3453[[#This Row],[Montant
de la facture
CHF]],"")</f>
        <v/>
      </c>
      <c r="H166" s="243"/>
      <c r="I166" s="245">
        <v>45364</v>
      </c>
      <c r="J166" s="246">
        <v>45387</v>
      </c>
      <c r="K166" s="247" t="s">
        <v>58</v>
      </c>
      <c r="L166" s="248"/>
      <c r="M166" s="248">
        <f>IF(Tableau3453[[#This Row],[Date 
du paiement]]="",$D$4-Tableau3453[[#This Row],[Date
de la facture]],Tableau3453[[#This Row],[Date 
du paiement]]-Tableau3453[[#This Row],[Date
de la facture]])</f>
        <v>28</v>
      </c>
      <c r="N166" s="241" t="str">
        <f>IF(Tableau3453[[#This Row],[Date 
du paiement]]="",IF(Tableau3453[[#This Row],[Jours]]&lt;30,Tableau3453[[#This Row],[Montant
de la facture
CHF]],""),"")</f>
        <v/>
      </c>
      <c r="O166" s="241" t="str">
        <f>IF(Tableau3453[[#This Row],[Date 
du paiement]]="",IF(Tableau3453[[#This Row],[Jours]]&gt;30,IF(Tableau3453[[#This Row],[Jours]]&lt;60,Tableau3453[[#This Row],[Montant
de la facture
CHF]],""),""),"")</f>
        <v/>
      </c>
      <c r="P166" s="241" t="str">
        <f>IF(Tableau3453[[#This Row],[Date 
du paiement]]="",IF(Tableau3453[[#This Row],[Jours]]&gt;60,Tableau3453[[#This Row],[Montant
de la facture
CHF]],""),"")</f>
        <v/>
      </c>
      <c r="Q166" s="249"/>
      <c r="R166" s="250" t="str">
        <f>Tableau3453[[#This Row],[Solde 
ouverte
fm]]</f>
        <v/>
      </c>
      <c r="S16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7" spans="1:19" hidden="1" outlineLevel="1" x14ac:dyDescent="0.25">
      <c r="A167" s="238">
        <v>240228</v>
      </c>
      <c r="B167" s="239" t="s">
        <v>860</v>
      </c>
      <c r="C167" s="352" t="str">
        <f>IF(Tableau3453[[#This Row],[Date 
du paiement]]="",IF(Tableau3453[[#This Row],[Jours]]&gt;Tableau3453[[#This Row],[Conditions
pmt+]]+5,"oui",""),"")</f>
        <v/>
      </c>
      <c r="D167" s="238" t="s">
        <v>879</v>
      </c>
      <c r="E167" s="240">
        <v>45359</v>
      </c>
      <c r="F167" s="241">
        <v>897.65</v>
      </c>
      <c r="G167" s="242" t="str">
        <f>IF(Tableau3453[[#This Row],[Date 
du paiement]]="",Tableau3453[[#This Row],[Montant
de la facture
CHF]],"")</f>
        <v/>
      </c>
      <c r="H167" s="243" t="s">
        <v>886</v>
      </c>
      <c r="I167" s="245">
        <v>45364</v>
      </c>
      <c r="J167" s="246">
        <v>45386</v>
      </c>
      <c r="K167" s="247" t="s">
        <v>58</v>
      </c>
      <c r="L167" s="248"/>
      <c r="M167" s="248">
        <f>IF(Tableau3453[[#This Row],[Date 
du paiement]]="",$D$4-Tableau3453[[#This Row],[Date
de la facture]],Tableau3453[[#This Row],[Date 
du paiement]]-Tableau3453[[#This Row],[Date
de la facture]])</f>
        <v>27</v>
      </c>
      <c r="N167" s="241" t="str">
        <f>IF(Tableau3453[[#This Row],[Date 
du paiement]]="",IF(Tableau3453[[#This Row],[Jours]]&lt;30,Tableau3453[[#This Row],[Montant
de la facture
CHF]],""),"")</f>
        <v/>
      </c>
      <c r="O167" s="241" t="str">
        <f>IF(Tableau3453[[#This Row],[Date 
du paiement]]="",IF(Tableau3453[[#This Row],[Jours]]&gt;30,IF(Tableau3453[[#This Row],[Jours]]&lt;60,Tableau3453[[#This Row],[Montant
de la facture
CHF]],""),""),"")</f>
        <v/>
      </c>
      <c r="P167" s="241" t="str">
        <f>IF(Tableau3453[[#This Row],[Date 
du paiement]]="",IF(Tableau3453[[#This Row],[Jours]]&gt;60,Tableau3453[[#This Row],[Montant
de la facture
CHF]],""),"")</f>
        <v/>
      </c>
      <c r="Q167" s="249"/>
      <c r="R167" s="250" t="str">
        <f>Tableau3453[[#This Row],[Solde 
ouverte
fm]]</f>
        <v/>
      </c>
      <c r="S16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8" spans="1:19" hidden="1" outlineLevel="1" x14ac:dyDescent="0.25">
      <c r="A168" s="238">
        <v>240198</v>
      </c>
      <c r="B168" s="239" t="s">
        <v>860</v>
      </c>
      <c r="C168" s="352" t="str">
        <f>IF(Tableau3453[[#This Row],[Date 
du paiement]]="",IF(Tableau3453[[#This Row],[Jours]]&gt;Tableau3453[[#This Row],[Conditions
pmt+]]+5,"oui",""),"")</f>
        <v/>
      </c>
      <c r="D168" s="238" t="s">
        <v>951</v>
      </c>
      <c r="E168" s="240">
        <v>45359</v>
      </c>
      <c r="F168" s="241">
        <v>2344.6999999999998</v>
      </c>
      <c r="G168" s="242" t="str">
        <f>IF(Tableau3453[[#This Row],[Date 
du paiement]]="",Tableau3453[[#This Row],[Montant
de la facture
CHF]],"")</f>
        <v/>
      </c>
      <c r="H168" s="243"/>
      <c r="I168" s="245">
        <v>45364</v>
      </c>
      <c r="J168" s="246">
        <v>45385</v>
      </c>
      <c r="K168" s="247" t="s">
        <v>58</v>
      </c>
      <c r="L168" s="248"/>
      <c r="M168" s="248">
        <f>IF(Tableau3453[[#This Row],[Date 
du paiement]]="",$D$4-Tableau3453[[#This Row],[Date
de la facture]],Tableau3453[[#This Row],[Date 
du paiement]]-Tableau3453[[#This Row],[Date
de la facture]])</f>
        <v>26</v>
      </c>
      <c r="N168" s="241" t="str">
        <f>IF(Tableau3453[[#This Row],[Date 
du paiement]]="",IF(Tableau3453[[#This Row],[Jours]]&lt;30,Tableau3453[[#This Row],[Montant
de la facture
CHF]],""),"")</f>
        <v/>
      </c>
      <c r="O168" s="241" t="str">
        <f>IF(Tableau3453[[#This Row],[Date 
du paiement]]="",IF(Tableau3453[[#This Row],[Jours]]&gt;30,IF(Tableau3453[[#This Row],[Jours]]&lt;60,Tableau3453[[#This Row],[Montant
de la facture
CHF]],""),""),"")</f>
        <v/>
      </c>
      <c r="P168" s="241" t="str">
        <f>IF(Tableau3453[[#This Row],[Date 
du paiement]]="",IF(Tableau3453[[#This Row],[Jours]]&gt;60,Tableau3453[[#This Row],[Montant
de la facture
CHF]],""),"")</f>
        <v/>
      </c>
      <c r="Q168" s="249"/>
      <c r="R168" s="250" t="str">
        <f>Tableau3453[[#This Row],[Solde 
ouverte
fm]]</f>
        <v/>
      </c>
      <c r="S16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69" spans="1:19" hidden="1" outlineLevel="1" x14ac:dyDescent="0.25">
      <c r="A169" s="238">
        <v>240241</v>
      </c>
      <c r="B169" s="239" t="s">
        <v>857</v>
      </c>
      <c r="C169" s="352" t="str">
        <f>IF(Tableau3453[[#This Row],[Date 
du paiement]]="",IF(Tableau3453[[#This Row],[Jours]]&gt;Tableau3453[[#This Row],[Conditions
pmt+]]+5,"oui",""),"")</f>
        <v/>
      </c>
      <c r="D169" s="238" t="s">
        <v>858</v>
      </c>
      <c r="E169" s="240">
        <v>45362</v>
      </c>
      <c r="F169" s="241">
        <v>2896.4</v>
      </c>
      <c r="G169" s="242" t="str">
        <f>IF(Tableau3453[[#This Row],[Date 
du paiement]]="",Tableau3453[[#This Row],[Montant
de la facture
CHF]],"")</f>
        <v/>
      </c>
      <c r="H169" s="243" t="s">
        <v>953</v>
      </c>
      <c r="I169" s="245">
        <v>45364</v>
      </c>
      <c r="J169" s="246">
        <v>45448</v>
      </c>
      <c r="K169" s="247" t="s">
        <v>58</v>
      </c>
      <c r="L169" s="248">
        <v>3</v>
      </c>
      <c r="M169" s="248">
        <f>IF(Tableau3453[[#This Row],[Date 
du paiement]]="",$D$4-Tableau3453[[#This Row],[Date
de la facture]],Tableau3453[[#This Row],[Date 
du paiement]]-Tableau3453[[#This Row],[Date
de la facture]])</f>
        <v>86</v>
      </c>
      <c r="N169" s="241" t="str">
        <f>IF(Tableau3453[[#This Row],[Date 
du paiement]]="",IF(Tableau3453[[#This Row],[Jours]]&lt;30,Tableau3453[[#This Row],[Montant
de la facture
CHF]],""),"")</f>
        <v/>
      </c>
      <c r="O169" s="241" t="str">
        <f>IF(Tableau3453[[#This Row],[Date 
du paiement]]="",IF(Tableau3453[[#This Row],[Jours]]&gt;30,IF(Tableau3453[[#This Row],[Jours]]&lt;60,Tableau3453[[#This Row],[Montant
de la facture
CHF]],""),""),"")</f>
        <v/>
      </c>
      <c r="P169" s="241" t="str">
        <f>IF(Tableau3453[[#This Row],[Date 
du paiement]]="",IF(Tableau3453[[#This Row],[Jours]]&gt;60,Tableau3453[[#This Row],[Montant
de la facture
CHF]],""),"")</f>
        <v/>
      </c>
      <c r="Q169" s="249" t="s">
        <v>954</v>
      </c>
      <c r="R169" s="250" t="str">
        <f>Tableau3453[[#This Row],[Solde 
ouverte
fm]]</f>
        <v/>
      </c>
      <c r="S16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0" spans="1:19" hidden="1" outlineLevel="1" x14ac:dyDescent="0.25">
      <c r="A170" s="238">
        <v>240234</v>
      </c>
      <c r="B170" s="239" t="s">
        <v>860</v>
      </c>
      <c r="C170" s="352" t="str">
        <f>IF(Tableau3453[[#This Row],[Date 
du paiement]]="",IF(Tableau3453[[#This Row],[Jours]]&gt;Tableau3453[[#This Row],[Conditions
pmt+]]+5,"oui",""),"")</f>
        <v/>
      </c>
      <c r="D170" s="238" t="s">
        <v>924</v>
      </c>
      <c r="E170" s="240">
        <v>45362</v>
      </c>
      <c r="F170" s="241">
        <v>236.25</v>
      </c>
      <c r="G170" s="242" t="str">
        <f>IF(Tableau3453[[#This Row],[Date 
du paiement]]="",Tableau3453[[#This Row],[Montant
de la facture
CHF]],"")</f>
        <v/>
      </c>
      <c r="H170" s="243"/>
      <c r="I170" s="245">
        <v>45370</v>
      </c>
      <c r="J170" s="246">
        <v>45397</v>
      </c>
      <c r="K170" s="247" t="s">
        <v>58</v>
      </c>
      <c r="L170" s="248"/>
      <c r="M170" s="248">
        <f>IF(Tableau3453[[#This Row],[Date 
du paiement]]="",$D$4-Tableau3453[[#This Row],[Date
de la facture]],Tableau3453[[#This Row],[Date 
du paiement]]-Tableau3453[[#This Row],[Date
de la facture]])</f>
        <v>35</v>
      </c>
      <c r="N170" s="241" t="str">
        <f>IF(Tableau3453[[#This Row],[Date 
du paiement]]="",IF(Tableau3453[[#This Row],[Jours]]&lt;30,Tableau3453[[#This Row],[Montant
de la facture
CHF]],""),"")</f>
        <v/>
      </c>
      <c r="O170" s="241" t="str">
        <f>IF(Tableau3453[[#This Row],[Date 
du paiement]]="",IF(Tableau3453[[#This Row],[Jours]]&gt;30,IF(Tableau3453[[#This Row],[Jours]]&lt;60,Tableau3453[[#This Row],[Montant
de la facture
CHF]],""),""),"")</f>
        <v/>
      </c>
      <c r="P170" s="241" t="str">
        <f>IF(Tableau3453[[#This Row],[Date 
du paiement]]="",IF(Tableau3453[[#This Row],[Jours]]&gt;60,Tableau3453[[#This Row],[Montant
de la facture
CHF]],""),"")</f>
        <v/>
      </c>
      <c r="Q170" s="249"/>
      <c r="R170" s="250" t="str">
        <f>Tableau3453[[#This Row],[Solde 
ouverte
fm]]</f>
        <v/>
      </c>
      <c r="S17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1" spans="1:19" hidden="1" outlineLevel="1" x14ac:dyDescent="0.25">
      <c r="A171" s="238">
        <v>240236</v>
      </c>
      <c r="B171" s="239" t="s">
        <v>860</v>
      </c>
      <c r="C171" s="352" t="str">
        <f>IF(Tableau3453[[#This Row],[Date 
du paiement]]="",IF(Tableau3453[[#This Row],[Jours]]&gt;Tableau3453[[#This Row],[Conditions
pmt+]]+5,"oui",""),"")</f>
        <v/>
      </c>
      <c r="D171" s="262" t="s">
        <v>1026</v>
      </c>
      <c r="E171" s="240">
        <v>45362</v>
      </c>
      <c r="F171" s="241">
        <v>181.95</v>
      </c>
      <c r="G171" s="242" t="str">
        <f>IF(Tableau3453[[#This Row],[Date 
du paiement]]="",Tableau3453[[#This Row],[Montant
de la facture
CHF]],"")</f>
        <v/>
      </c>
      <c r="H171" s="243"/>
      <c r="I171" s="245">
        <v>45364</v>
      </c>
      <c r="J171" s="246">
        <v>45387</v>
      </c>
      <c r="K171" s="247" t="s">
        <v>58</v>
      </c>
      <c r="L171" s="248"/>
      <c r="M171" s="248">
        <f>IF(Tableau3453[[#This Row],[Date 
du paiement]]="",$D$4-Tableau3453[[#This Row],[Date
de la facture]],Tableau3453[[#This Row],[Date 
du paiement]]-Tableau3453[[#This Row],[Date
de la facture]])</f>
        <v>25</v>
      </c>
      <c r="N171" s="241" t="str">
        <f>IF(Tableau3453[[#This Row],[Date 
du paiement]]="",IF(Tableau3453[[#This Row],[Jours]]&lt;30,Tableau3453[[#This Row],[Montant
de la facture
CHF]],""),"")</f>
        <v/>
      </c>
      <c r="O171" s="241" t="str">
        <f>IF(Tableau3453[[#This Row],[Date 
du paiement]]="",IF(Tableau3453[[#This Row],[Jours]]&gt;30,IF(Tableau3453[[#This Row],[Jours]]&lt;60,Tableau3453[[#This Row],[Montant
de la facture
CHF]],""),""),"")</f>
        <v/>
      </c>
      <c r="P171" s="241" t="str">
        <f>IF(Tableau3453[[#This Row],[Date 
du paiement]]="",IF(Tableau3453[[#This Row],[Jours]]&gt;60,Tableau3453[[#This Row],[Montant
de la facture
CHF]],""),"")</f>
        <v/>
      </c>
      <c r="Q171" s="249"/>
      <c r="R171" s="250" t="str">
        <f>Tableau3453[[#This Row],[Solde 
ouverte
fm]]</f>
        <v/>
      </c>
      <c r="S17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2" spans="1:19" hidden="1" outlineLevel="1" x14ac:dyDescent="0.25">
      <c r="A172" s="238">
        <v>240240</v>
      </c>
      <c r="B172" s="239" t="s">
        <v>860</v>
      </c>
      <c r="C172" s="352" t="str">
        <f>IF(Tableau3453[[#This Row],[Date 
du paiement]]="",IF(Tableau3453[[#This Row],[Jours]]&gt;Tableau3453[[#This Row],[Conditions
pmt+]]+5,"oui",""),"")</f>
        <v/>
      </c>
      <c r="D172" s="238" t="s">
        <v>955</v>
      </c>
      <c r="E172" s="240">
        <v>45362</v>
      </c>
      <c r="F172" s="241">
        <v>7236.7</v>
      </c>
      <c r="G172" s="242" t="str">
        <f>IF(Tableau3453[[#This Row],[Date 
du paiement]]="",Tableau3453[[#This Row],[Montant
de la facture
CHF]],"")</f>
        <v/>
      </c>
      <c r="H172" s="243"/>
      <c r="I172" s="245">
        <v>45364</v>
      </c>
      <c r="J172" s="246">
        <v>45387</v>
      </c>
      <c r="K172" s="247" t="s">
        <v>58</v>
      </c>
      <c r="L172" s="248"/>
      <c r="M172" s="248">
        <f>IF(Tableau3453[[#This Row],[Date 
du paiement]]="",$D$4-Tableau3453[[#This Row],[Date
de la facture]],Tableau3453[[#This Row],[Date 
du paiement]]-Tableau3453[[#This Row],[Date
de la facture]])</f>
        <v>25</v>
      </c>
      <c r="N172" s="241" t="str">
        <f>IF(Tableau3453[[#This Row],[Date 
du paiement]]="",IF(Tableau3453[[#This Row],[Jours]]&lt;30,Tableau3453[[#This Row],[Montant
de la facture
CHF]],""),"")</f>
        <v/>
      </c>
      <c r="O172" s="241" t="str">
        <f>IF(Tableau3453[[#This Row],[Date 
du paiement]]="",IF(Tableau3453[[#This Row],[Jours]]&gt;30,IF(Tableau3453[[#This Row],[Jours]]&lt;60,Tableau3453[[#This Row],[Montant
de la facture
CHF]],""),""),"")</f>
        <v/>
      </c>
      <c r="P172" s="241" t="str">
        <f>IF(Tableau3453[[#This Row],[Date 
du paiement]]="",IF(Tableau3453[[#This Row],[Jours]]&gt;60,Tableau3453[[#This Row],[Montant
de la facture
CHF]],""),"")</f>
        <v/>
      </c>
      <c r="Q172" s="249"/>
      <c r="R172" s="250" t="str">
        <f>Tableau3453[[#This Row],[Solde 
ouverte
fm]]</f>
        <v/>
      </c>
      <c r="S17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3" spans="1:19" hidden="1" outlineLevel="1" x14ac:dyDescent="0.25">
      <c r="A173" s="238">
        <v>240242</v>
      </c>
      <c r="B173" s="239" t="s">
        <v>860</v>
      </c>
      <c r="C173" s="352" t="str">
        <f>IF(Tableau3453[[#This Row],[Date 
du paiement]]="",IF(Tableau3453[[#This Row],[Jours]]&gt;Tableau3453[[#This Row],[Conditions
pmt+]]+5,"oui",""),"")</f>
        <v/>
      </c>
      <c r="D173" s="262" t="s">
        <v>1026</v>
      </c>
      <c r="E173" s="240">
        <v>45362</v>
      </c>
      <c r="F173" s="241">
        <v>1742.6</v>
      </c>
      <c r="G173" s="242" t="str">
        <f>IF(Tableau3453[[#This Row],[Date 
du paiement]]="",Tableau3453[[#This Row],[Montant
de la facture
CHF]],"")</f>
        <v/>
      </c>
      <c r="H173" s="243"/>
      <c r="I173" s="245">
        <v>45364</v>
      </c>
      <c r="J173" s="246">
        <v>45379</v>
      </c>
      <c r="K173" s="247" t="s">
        <v>58</v>
      </c>
      <c r="L173" s="248"/>
      <c r="M173" s="248">
        <f>IF(Tableau3453[[#This Row],[Date 
du paiement]]="",$D$4-Tableau3453[[#This Row],[Date
de la facture]],Tableau3453[[#This Row],[Date 
du paiement]]-Tableau3453[[#This Row],[Date
de la facture]])</f>
        <v>17</v>
      </c>
      <c r="N173" s="241" t="str">
        <f>IF(Tableau3453[[#This Row],[Date 
du paiement]]="",IF(Tableau3453[[#This Row],[Jours]]&lt;30,Tableau3453[[#This Row],[Montant
de la facture
CHF]],""),"")</f>
        <v/>
      </c>
      <c r="O173" s="241" t="str">
        <f>IF(Tableau3453[[#This Row],[Date 
du paiement]]="",IF(Tableau3453[[#This Row],[Jours]]&gt;30,IF(Tableau3453[[#This Row],[Jours]]&lt;60,Tableau3453[[#This Row],[Montant
de la facture
CHF]],""),""),"")</f>
        <v/>
      </c>
      <c r="P173" s="241" t="str">
        <f>IF(Tableau3453[[#This Row],[Date 
du paiement]]="",IF(Tableau3453[[#This Row],[Jours]]&gt;60,Tableau3453[[#This Row],[Montant
de la facture
CHF]],""),"")</f>
        <v/>
      </c>
      <c r="Q173" s="249"/>
      <c r="R173" s="250" t="str">
        <f>Tableau3453[[#This Row],[Solde 
ouverte
fm]]</f>
        <v/>
      </c>
      <c r="S17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4" spans="1:19" hidden="1" outlineLevel="1" x14ac:dyDescent="0.25">
      <c r="A174" s="238">
        <v>240226</v>
      </c>
      <c r="B174" s="239" t="s">
        <v>860</v>
      </c>
      <c r="C174" s="352" t="str">
        <f>IF(Tableau3453[[#This Row],[Date 
du paiement]]="",IF(Tableau3453[[#This Row],[Jours]]&gt;Tableau3453[[#This Row],[Conditions
pmt+]]+5,"oui",""),"")</f>
        <v/>
      </c>
      <c r="D174" s="238" t="s">
        <v>956</v>
      </c>
      <c r="E174" s="240">
        <v>45363</v>
      </c>
      <c r="F174" s="241">
        <v>3266.35</v>
      </c>
      <c r="G174" s="242" t="str">
        <f>IF(Tableau3453[[#This Row],[Date 
du paiement]]="",Tableau3453[[#This Row],[Montant
de la facture
CHF]],"")</f>
        <v/>
      </c>
      <c r="H174" s="243" t="s">
        <v>949</v>
      </c>
      <c r="I174" s="245">
        <v>45364</v>
      </c>
      <c r="J174" s="246">
        <v>45398</v>
      </c>
      <c r="K174" s="247" t="s">
        <v>58</v>
      </c>
      <c r="L174" s="248"/>
      <c r="M174" s="248">
        <f>IF(Tableau3453[[#This Row],[Date 
du paiement]]="",$D$4-Tableau3453[[#This Row],[Date
de la facture]],Tableau3453[[#This Row],[Date 
du paiement]]-Tableau3453[[#This Row],[Date
de la facture]])</f>
        <v>35</v>
      </c>
      <c r="N174" s="241" t="str">
        <f>IF(Tableau3453[[#This Row],[Date 
du paiement]]="",IF(Tableau3453[[#This Row],[Jours]]&lt;30,Tableau3453[[#This Row],[Montant
de la facture
CHF]],""),"")</f>
        <v/>
      </c>
      <c r="O174" s="241" t="str">
        <f>IF(Tableau3453[[#This Row],[Date 
du paiement]]="",IF(Tableau3453[[#This Row],[Jours]]&gt;30,IF(Tableau3453[[#This Row],[Jours]]&lt;60,Tableau3453[[#This Row],[Montant
de la facture
CHF]],""),""),"")</f>
        <v/>
      </c>
      <c r="P174" s="241" t="str">
        <f>IF(Tableau3453[[#This Row],[Date 
du paiement]]="",IF(Tableau3453[[#This Row],[Jours]]&gt;60,Tableau3453[[#This Row],[Montant
de la facture
CHF]],""),"")</f>
        <v/>
      </c>
      <c r="Q174" s="249"/>
      <c r="R174" s="250" t="str">
        <f>Tableau3453[[#This Row],[Solde 
ouverte
fm]]</f>
        <v/>
      </c>
      <c r="S1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5" spans="1:19" hidden="1" outlineLevel="1" x14ac:dyDescent="0.25">
      <c r="A175" s="238">
        <v>240223</v>
      </c>
      <c r="B175" s="239" t="s">
        <v>860</v>
      </c>
      <c r="C175" s="352" t="str">
        <f>IF(Tableau3453[[#This Row],[Date 
du paiement]]="",IF(Tableau3453[[#This Row],[Jours]]&gt;Tableau3453[[#This Row],[Conditions
pmt+]]+5,"oui",""),"")</f>
        <v/>
      </c>
      <c r="D175" s="238" t="s">
        <v>957</v>
      </c>
      <c r="E175" s="240">
        <v>45363</v>
      </c>
      <c r="F175" s="241">
        <v>294.75</v>
      </c>
      <c r="G175" s="242" t="str">
        <f>IF(Tableau3453[[#This Row],[Date 
du paiement]]="",Tableau3453[[#This Row],[Montant
de la facture
CHF]],"")</f>
        <v/>
      </c>
      <c r="H175" s="243"/>
      <c r="I175" s="245">
        <v>45373</v>
      </c>
      <c r="J175" s="246">
        <v>45356</v>
      </c>
      <c r="K175" s="247" t="s">
        <v>958</v>
      </c>
      <c r="L175" s="248"/>
      <c r="M175" s="248">
        <f>IF(Tableau3453[[#This Row],[Date 
du paiement]]="",$D$4-Tableau3453[[#This Row],[Date
de la facture]],Tableau3453[[#This Row],[Date 
du paiement]]-Tableau3453[[#This Row],[Date
de la facture]])</f>
        <v>-7</v>
      </c>
      <c r="N175" s="241" t="str">
        <f>IF(Tableau3453[[#This Row],[Date 
du paiement]]="",IF(Tableau3453[[#This Row],[Jours]]&lt;30,Tableau3453[[#This Row],[Montant
de la facture
CHF]],""),"")</f>
        <v/>
      </c>
      <c r="O175" s="241" t="str">
        <f>IF(Tableau3453[[#This Row],[Date 
du paiement]]="",IF(Tableau3453[[#This Row],[Jours]]&gt;30,IF(Tableau3453[[#This Row],[Jours]]&lt;60,Tableau3453[[#This Row],[Montant
de la facture
CHF]],""),""),"")</f>
        <v/>
      </c>
      <c r="P175" s="241" t="str">
        <f>IF(Tableau3453[[#This Row],[Date 
du paiement]]="",IF(Tableau3453[[#This Row],[Jours]]&gt;60,Tableau3453[[#This Row],[Montant
de la facture
CHF]],""),"")</f>
        <v/>
      </c>
      <c r="Q175" s="249"/>
      <c r="R175" s="267" t="str">
        <f>Tableau3453[[#This Row],[Solde 
ouverte
fm]]</f>
        <v/>
      </c>
      <c r="S17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6" spans="1:19" hidden="1" outlineLevel="1" x14ac:dyDescent="0.25">
      <c r="A176" s="238">
        <v>240006</v>
      </c>
      <c r="B176" s="239" t="s">
        <v>860</v>
      </c>
      <c r="C176" s="352" t="str">
        <f>IF(Tableau3453[[#This Row],[Date 
du paiement]]="",IF(Tableau3453[[#This Row],[Jours]]&gt;Tableau3453[[#This Row],[Conditions
pmt+]]+5,"oui",""),"")</f>
        <v/>
      </c>
      <c r="D176" s="238" t="s">
        <v>959</v>
      </c>
      <c r="E176" s="240">
        <v>45364</v>
      </c>
      <c r="F176" s="241">
        <v>13985.45</v>
      </c>
      <c r="G176" s="242" t="str">
        <f>IF(Tableau3453[[#This Row],[Date 
du paiement]]="",Tableau3453[[#This Row],[Montant
de la facture
CHF]],"")</f>
        <v/>
      </c>
      <c r="H176" s="243"/>
      <c r="I176" s="245">
        <v>45370</v>
      </c>
      <c r="J176" s="246">
        <v>45384</v>
      </c>
      <c r="K176" s="247" t="s">
        <v>58</v>
      </c>
      <c r="L176" s="248"/>
      <c r="M176" s="248">
        <f>IF(Tableau3453[[#This Row],[Date 
du paiement]]="",$D$4-Tableau3453[[#This Row],[Date
de la facture]],Tableau3453[[#This Row],[Date 
du paiement]]-Tableau3453[[#This Row],[Date
de la facture]])</f>
        <v>20</v>
      </c>
      <c r="N176" s="241" t="str">
        <f>IF(Tableau3453[[#This Row],[Date 
du paiement]]="",IF(Tableau3453[[#This Row],[Jours]]&lt;30,Tableau3453[[#This Row],[Montant
de la facture
CHF]],""),"")</f>
        <v/>
      </c>
      <c r="O176" s="241" t="str">
        <f>IF(Tableau3453[[#This Row],[Date 
du paiement]]="",IF(Tableau3453[[#This Row],[Jours]]&gt;30,IF(Tableau3453[[#This Row],[Jours]]&lt;60,Tableau3453[[#This Row],[Montant
de la facture
CHF]],""),""),"")</f>
        <v/>
      </c>
      <c r="P176" s="241" t="str">
        <f>IF(Tableau3453[[#This Row],[Date 
du paiement]]="",IF(Tableau3453[[#This Row],[Jours]]&gt;60,Tableau3453[[#This Row],[Montant
de la facture
CHF]],""),"")</f>
        <v/>
      </c>
      <c r="Q176" s="249"/>
      <c r="R176" s="250" t="str">
        <f>Tableau3453[[#This Row],[Solde 
ouverte
fm]]</f>
        <v/>
      </c>
      <c r="S17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7" spans="1:19" hidden="1" outlineLevel="1" x14ac:dyDescent="0.25">
      <c r="A177" s="238">
        <v>240259</v>
      </c>
      <c r="B177" s="239" t="s">
        <v>860</v>
      </c>
      <c r="C177" s="352" t="str">
        <f>IF(Tableau3453[[#This Row],[Date 
du paiement]]="",IF(Tableau3453[[#This Row],[Jours]]&gt;Tableau3453[[#This Row],[Conditions
pmt+]]+5,"oui",""),"")</f>
        <v/>
      </c>
      <c r="D177" s="238" t="s">
        <v>1035</v>
      </c>
      <c r="E177" s="240">
        <v>45365</v>
      </c>
      <c r="F177" s="241">
        <v>919.25</v>
      </c>
      <c r="G177" s="242" t="str">
        <f>IF(Tableau3453[[#This Row],[Date 
du paiement]]="",Tableau3453[[#This Row],[Montant
de la facture
CHF]],"")</f>
        <v/>
      </c>
      <c r="H177" s="243"/>
      <c r="I177" s="245">
        <v>45373</v>
      </c>
      <c r="J177" s="246">
        <v>45467</v>
      </c>
      <c r="K177" s="247" t="s">
        <v>58</v>
      </c>
      <c r="L177" s="255">
        <v>5</v>
      </c>
      <c r="M177" s="248">
        <f>IF(Tableau3453[[#This Row],[Date 
du paiement]]="",$D$4-Tableau3453[[#This Row],[Date
de la facture]],Tableau3453[[#This Row],[Date 
du paiement]]-Tableau3453[[#This Row],[Date
de la facture]])</f>
        <v>102</v>
      </c>
      <c r="N177" s="241" t="str">
        <f>IF(Tableau3453[[#This Row],[Date 
du paiement]]="",IF(Tableau3453[[#This Row],[Jours]]&lt;30,Tableau3453[[#This Row],[Montant
de la facture
CHF]],""),"")</f>
        <v/>
      </c>
      <c r="O177" s="241" t="str">
        <f>IF(Tableau3453[[#This Row],[Date 
du paiement]]="",IF(Tableau3453[[#This Row],[Jours]]&gt;30,IF(Tableau3453[[#This Row],[Jours]]&lt;60,Tableau3453[[#This Row],[Montant
de la facture
CHF]],""),""),"")</f>
        <v/>
      </c>
      <c r="P177" s="241" t="str">
        <f>IF(Tableau3453[[#This Row],[Date 
du paiement]]="",IF(Tableau3453[[#This Row],[Jours]]&gt;60,Tableau3453[[#This Row],[Montant
de la facture
CHF]],""),"")</f>
        <v/>
      </c>
      <c r="Q177" s="249" t="s">
        <v>1036</v>
      </c>
      <c r="R177" s="250" t="str">
        <f>Tableau3453[[#This Row],[Solde 
ouverte
fm]]</f>
        <v/>
      </c>
      <c r="S17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8" spans="1:19" hidden="1" outlineLevel="1" x14ac:dyDescent="0.25">
      <c r="A178" s="238">
        <v>240263</v>
      </c>
      <c r="B178" s="239" t="s">
        <v>860</v>
      </c>
      <c r="C178" s="352" t="str">
        <f>IF(Tableau3453[[#This Row],[Date 
du paiement]]="",IF(Tableau3453[[#This Row],[Jours]]&gt;Tableau3453[[#This Row],[Conditions
pmt+]]+5,"oui",""),"")</f>
        <v/>
      </c>
      <c r="D178" s="238" t="s">
        <v>918</v>
      </c>
      <c r="E178" s="240">
        <v>45365</v>
      </c>
      <c r="F178" s="241">
        <v>352.85</v>
      </c>
      <c r="G178" s="242" t="str">
        <f>IF(Tableau3453[[#This Row],[Date 
du paiement]]="",Tableau3453[[#This Row],[Montant
de la facture
CHF]],"")</f>
        <v/>
      </c>
      <c r="H178" s="243" t="s">
        <v>886</v>
      </c>
      <c r="I178" s="245">
        <v>45370</v>
      </c>
      <c r="J178" s="246">
        <v>45441</v>
      </c>
      <c r="K178" s="247" t="s">
        <v>58</v>
      </c>
      <c r="L178" s="248">
        <v>2</v>
      </c>
      <c r="M178" s="248">
        <f>IF(Tableau3453[[#This Row],[Date 
du paiement]]="",$D$4-Tableau3453[[#This Row],[Date
de la facture]],Tableau3453[[#This Row],[Date 
du paiement]]-Tableau3453[[#This Row],[Date
de la facture]])</f>
        <v>76</v>
      </c>
      <c r="N178" s="241" t="str">
        <f>IF(Tableau3453[[#This Row],[Date 
du paiement]]="",IF(Tableau3453[[#This Row],[Jours]]&lt;30,Tableau3453[[#This Row],[Montant
de la facture
CHF]],""),"")</f>
        <v/>
      </c>
      <c r="O178" s="241" t="str">
        <f>IF(Tableau3453[[#This Row],[Date 
du paiement]]="",IF(Tableau3453[[#This Row],[Jours]]&gt;30,IF(Tableau3453[[#This Row],[Jours]]&lt;60,Tableau3453[[#This Row],[Montant
de la facture
CHF]],""),""),"")</f>
        <v/>
      </c>
      <c r="P178" s="241" t="str">
        <f>IF(Tableau3453[[#This Row],[Date 
du paiement]]="",IF(Tableau3453[[#This Row],[Jours]]&gt;60,Tableau3453[[#This Row],[Montant
de la facture
CHF]],""),"")</f>
        <v/>
      </c>
      <c r="Q178" s="249"/>
      <c r="R178" s="250" t="str">
        <f>Tableau3453[[#This Row],[Solde 
ouverte
fm]]</f>
        <v/>
      </c>
      <c r="S17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79" spans="1:19" hidden="1" outlineLevel="1" x14ac:dyDescent="0.25">
      <c r="A179" s="238">
        <v>240035</v>
      </c>
      <c r="B179" s="239" t="s">
        <v>860</v>
      </c>
      <c r="C179" s="352" t="str">
        <f>IF(Tableau3453[[#This Row],[Date 
du paiement]]="",IF(Tableau3453[[#This Row],[Jours]]&gt;Tableau3453[[#This Row],[Conditions
pmt+]]+5,"oui",""),"")</f>
        <v/>
      </c>
      <c r="D179" s="238" t="s">
        <v>960</v>
      </c>
      <c r="E179" s="240">
        <v>45365</v>
      </c>
      <c r="F179" s="241">
        <v>3003.9</v>
      </c>
      <c r="G179" s="242" t="str">
        <f>IF(Tableau3453[[#This Row],[Date 
du paiement]]="",Tableau3453[[#This Row],[Montant
de la facture
CHF]],"")</f>
        <v/>
      </c>
      <c r="H179" s="243"/>
      <c r="I179" s="245">
        <v>45370</v>
      </c>
      <c r="J179" s="246">
        <v>45406</v>
      </c>
      <c r="K179" s="247" t="s">
        <v>58</v>
      </c>
      <c r="L179" s="248"/>
      <c r="M179" s="248">
        <f>IF(Tableau3453[[#This Row],[Date 
du paiement]]="",$D$4-Tableau3453[[#This Row],[Date
de la facture]],Tableau3453[[#This Row],[Date 
du paiement]]-Tableau3453[[#This Row],[Date
de la facture]])</f>
        <v>41</v>
      </c>
      <c r="N179" s="241" t="str">
        <f>IF(Tableau3453[[#This Row],[Date 
du paiement]]="",IF(Tableau3453[[#This Row],[Jours]]&lt;30,Tableau3453[[#This Row],[Montant
de la facture
CHF]],""),"")</f>
        <v/>
      </c>
      <c r="O179" s="241" t="str">
        <f>IF(Tableau3453[[#This Row],[Date 
du paiement]]="",IF(Tableau3453[[#This Row],[Jours]]&gt;30,IF(Tableau3453[[#This Row],[Jours]]&lt;60,Tableau3453[[#This Row],[Montant
de la facture
CHF]],""),""),"")</f>
        <v/>
      </c>
      <c r="P179" s="241" t="str">
        <f>IF(Tableau3453[[#This Row],[Date 
du paiement]]="",IF(Tableau3453[[#This Row],[Jours]]&gt;60,Tableau3453[[#This Row],[Montant
de la facture
CHF]],""),"")</f>
        <v/>
      </c>
      <c r="Q179" s="249"/>
      <c r="R179" s="250" t="str">
        <f>Tableau3453[[#This Row],[Solde 
ouverte
fm]]</f>
        <v/>
      </c>
      <c r="S17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0" spans="1:19" hidden="1" outlineLevel="1" x14ac:dyDescent="0.25">
      <c r="A180" s="238">
        <v>8</v>
      </c>
      <c r="B180" s="239" t="s">
        <v>860</v>
      </c>
      <c r="C180" s="352" t="str">
        <f>IF(Tableau3453[[#This Row],[Date 
du paiement]]="",IF(Tableau3453[[#This Row],[Jours]]&gt;Tableau3453[[#This Row],[Conditions
pmt+]]+5,"oui",""),"")</f>
        <v/>
      </c>
      <c r="D180" s="238" t="s">
        <v>960</v>
      </c>
      <c r="E180" s="240">
        <v>45365</v>
      </c>
      <c r="F180" s="241">
        <v>-118.55</v>
      </c>
      <c r="G180" s="242" t="str">
        <f>IF(Tableau3453[[#This Row],[Date 
du paiement]]="",Tableau3453[[#This Row],[Montant
de la facture
CHF]],"")</f>
        <v/>
      </c>
      <c r="H180" s="243"/>
      <c r="I180" s="245">
        <v>45370</v>
      </c>
      <c r="J180" s="246">
        <v>45406</v>
      </c>
      <c r="K180" s="247" t="s">
        <v>58</v>
      </c>
      <c r="L180" s="248"/>
      <c r="M180" s="248">
        <f>IF(Tableau3453[[#This Row],[Date 
du paiement]]="",$D$4-Tableau3453[[#This Row],[Date
de la facture]],Tableau3453[[#This Row],[Date 
du paiement]]-Tableau3453[[#This Row],[Date
de la facture]])</f>
        <v>41</v>
      </c>
      <c r="N180" s="241" t="str">
        <f>IF(Tableau3453[[#This Row],[Date 
du paiement]]="",IF(Tableau3453[[#This Row],[Jours]]&lt;30,Tableau3453[[#This Row],[Montant
de la facture
CHF]],""),"")</f>
        <v/>
      </c>
      <c r="O180" s="241" t="str">
        <f>IF(Tableau3453[[#This Row],[Date 
du paiement]]="",IF(Tableau3453[[#This Row],[Jours]]&gt;30,IF(Tableau3453[[#This Row],[Jours]]&lt;60,Tableau3453[[#This Row],[Montant
de la facture
CHF]],""),""),"")</f>
        <v/>
      </c>
      <c r="P180" s="241" t="str">
        <f>IF(Tableau3453[[#This Row],[Date 
du paiement]]="",IF(Tableau3453[[#This Row],[Jours]]&gt;60,Tableau3453[[#This Row],[Montant
de la facture
CHF]],""),"")</f>
        <v/>
      </c>
      <c r="Q180" s="249"/>
      <c r="R180" s="250" t="str">
        <f>Tableau3453[[#This Row],[Solde 
ouverte
fm]]</f>
        <v/>
      </c>
      <c r="S18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1" spans="1:19" hidden="1" outlineLevel="1" x14ac:dyDescent="0.25">
      <c r="A181" s="238">
        <v>240246</v>
      </c>
      <c r="B181" s="239" t="s">
        <v>860</v>
      </c>
      <c r="C181" s="352" t="str">
        <f>IF(Tableau3453[[#This Row],[Date 
du paiement]]="",IF(Tableau3453[[#This Row],[Jours]]&gt;Tableau3453[[#This Row],[Conditions
pmt+]]+5,"oui",""),"")</f>
        <v/>
      </c>
      <c r="D181" s="238" t="s">
        <v>941</v>
      </c>
      <c r="E181" s="240">
        <v>45365</v>
      </c>
      <c r="F181" s="241">
        <v>1656.35</v>
      </c>
      <c r="G181" s="242" t="str">
        <f>IF(Tableau3453[[#This Row],[Date 
du paiement]]="",Tableau3453[[#This Row],[Montant
de la facture
CHF]],"")</f>
        <v/>
      </c>
      <c r="H181" s="243"/>
      <c r="I181" s="245">
        <v>45370</v>
      </c>
      <c r="J181" s="246">
        <v>45379</v>
      </c>
      <c r="K181" s="247" t="s">
        <v>58</v>
      </c>
      <c r="L181" s="248"/>
      <c r="M181" s="248">
        <f>IF(Tableau3453[[#This Row],[Date 
du paiement]]="",$D$4-Tableau3453[[#This Row],[Date
de la facture]],Tableau3453[[#This Row],[Date 
du paiement]]-Tableau3453[[#This Row],[Date
de la facture]])</f>
        <v>14</v>
      </c>
      <c r="N181" s="241" t="str">
        <f>IF(Tableau3453[[#This Row],[Date 
du paiement]]="",IF(Tableau3453[[#This Row],[Jours]]&lt;30,Tableau3453[[#This Row],[Montant
de la facture
CHF]],""),"")</f>
        <v/>
      </c>
      <c r="O181" s="241" t="str">
        <f>IF(Tableau3453[[#This Row],[Date 
du paiement]]="",IF(Tableau3453[[#This Row],[Jours]]&gt;30,IF(Tableau3453[[#This Row],[Jours]]&lt;60,Tableau3453[[#This Row],[Montant
de la facture
CHF]],""),""),"")</f>
        <v/>
      </c>
      <c r="P181" s="241" t="str">
        <f>IF(Tableau3453[[#This Row],[Date 
du paiement]]="",IF(Tableau3453[[#This Row],[Jours]]&gt;60,Tableau3453[[#This Row],[Montant
de la facture
CHF]],""),"")</f>
        <v/>
      </c>
      <c r="Q181" s="249"/>
      <c r="R181" s="250" t="str">
        <f>Tableau3453[[#This Row],[Solde 
ouverte
fm]]</f>
        <v/>
      </c>
      <c r="S18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2" spans="1:19" hidden="1" outlineLevel="1" x14ac:dyDescent="0.25">
      <c r="A182" s="238">
        <v>240261</v>
      </c>
      <c r="B182" s="239" t="s">
        <v>860</v>
      </c>
      <c r="C182" s="352" t="str">
        <f>IF(Tableau3453[[#This Row],[Date 
du paiement]]="",IF(Tableau3453[[#This Row],[Jours]]&gt;Tableau3453[[#This Row],[Conditions
pmt+]]+5,"oui",""),"")</f>
        <v/>
      </c>
      <c r="D182" s="238" t="s">
        <v>961</v>
      </c>
      <c r="E182" s="240">
        <v>45365</v>
      </c>
      <c r="F182" s="241">
        <v>4701.2</v>
      </c>
      <c r="G182" s="242" t="str">
        <f>IF(Tableau3453[[#This Row],[Date 
du paiement]]="",Tableau3453[[#This Row],[Montant
de la facture
CHF]],"")</f>
        <v/>
      </c>
      <c r="H182" s="243"/>
      <c r="I182" s="245">
        <v>45365</v>
      </c>
      <c r="J182" s="246">
        <v>45379</v>
      </c>
      <c r="K182" s="247" t="s">
        <v>58</v>
      </c>
      <c r="L182" s="248"/>
      <c r="M182" s="248">
        <f>IF(Tableau3453[[#This Row],[Date 
du paiement]]="",$D$4-Tableau3453[[#This Row],[Date
de la facture]],Tableau3453[[#This Row],[Date 
du paiement]]-Tableau3453[[#This Row],[Date
de la facture]])</f>
        <v>14</v>
      </c>
      <c r="N182" s="241" t="str">
        <f>IF(Tableau3453[[#This Row],[Date 
du paiement]]="",IF(Tableau3453[[#This Row],[Jours]]&lt;30,Tableau3453[[#This Row],[Montant
de la facture
CHF]],""),"")</f>
        <v/>
      </c>
      <c r="O182" s="241" t="str">
        <f>IF(Tableau3453[[#This Row],[Date 
du paiement]]="",IF(Tableau3453[[#This Row],[Jours]]&gt;30,IF(Tableau3453[[#This Row],[Jours]]&lt;60,Tableau3453[[#This Row],[Montant
de la facture
CHF]],""),""),"")</f>
        <v/>
      </c>
      <c r="P182" s="241" t="str">
        <f>IF(Tableau3453[[#This Row],[Date 
du paiement]]="",IF(Tableau3453[[#This Row],[Jours]]&gt;60,Tableau3453[[#This Row],[Montant
de la facture
CHF]],""),"")</f>
        <v/>
      </c>
      <c r="Q182" s="249"/>
      <c r="R182" s="250" t="str">
        <f>Tableau3453[[#This Row],[Solde 
ouverte
fm]]</f>
        <v/>
      </c>
      <c r="S1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3" spans="1:19" hidden="1" outlineLevel="1" x14ac:dyDescent="0.25">
      <c r="A183" s="238">
        <v>240084</v>
      </c>
      <c r="B183" s="239" t="s">
        <v>860</v>
      </c>
      <c r="C183" s="352" t="str">
        <f>IF(Tableau3453[[#This Row],[Date 
du paiement]]="",IF(Tableau3453[[#This Row],[Jours]]&gt;Tableau3453[[#This Row],[Conditions
pmt+]]+5,"oui",""),"")</f>
        <v/>
      </c>
      <c r="D183" s="238" t="s">
        <v>1035</v>
      </c>
      <c r="E183" s="240">
        <v>45366</v>
      </c>
      <c r="F183" s="241">
        <v>1498.1</v>
      </c>
      <c r="G183" s="242" t="str">
        <f>IF(Tableau3453[[#This Row],[Date 
du paiement]]="",Tableau3453[[#This Row],[Montant
de la facture
CHF]],"")</f>
        <v/>
      </c>
      <c r="H183" s="243"/>
      <c r="I183" s="245">
        <v>45373</v>
      </c>
      <c r="J183" s="246">
        <v>45467</v>
      </c>
      <c r="K183" s="247" t="s">
        <v>58</v>
      </c>
      <c r="L183" s="255">
        <v>5</v>
      </c>
      <c r="M183" s="248">
        <f>IF(Tableau3453[[#This Row],[Date 
du paiement]]="",$D$4-Tableau3453[[#This Row],[Date
de la facture]],Tableau3453[[#This Row],[Date 
du paiement]]-Tableau3453[[#This Row],[Date
de la facture]])</f>
        <v>101</v>
      </c>
      <c r="N183" s="241" t="str">
        <f>IF(Tableau3453[[#This Row],[Date 
du paiement]]="",IF(Tableau3453[[#This Row],[Jours]]&lt;30,Tableau3453[[#This Row],[Montant
de la facture
CHF]],""),"")</f>
        <v/>
      </c>
      <c r="O183" s="241" t="str">
        <f>IF(Tableau3453[[#This Row],[Date 
du paiement]]="",IF(Tableau3453[[#This Row],[Jours]]&gt;30,IF(Tableau3453[[#This Row],[Jours]]&lt;60,Tableau3453[[#This Row],[Montant
de la facture
CHF]],""),""),"")</f>
        <v/>
      </c>
      <c r="P183" s="241" t="str">
        <f>IF(Tableau3453[[#This Row],[Date 
du paiement]]="",IF(Tableau3453[[#This Row],[Jours]]&gt;60,Tableau3453[[#This Row],[Montant
de la facture
CHF]],""),"")</f>
        <v/>
      </c>
      <c r="Q183" s="249" t="s">
        <v>1036</v>
      </c>
      <c r="R183" s="250" t="str">
        <f>Tableau3453[[#This Row],[Solde 
ouverte
fm]]</f>
        <v/>
      </c>
      <c r="S1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4" spans="1:19" hidden="1" outlineLevel="1" x14ac:dyDescent="0.25">
      <c r="A184" s="238">
        <v>240155</v>
      </c>
      <c r="B184" s="239" t="s">
        <v>860</v>
      </c>
      <c r="C184" s="352" t="str">
        <f>IF(Tableau3453[[#This Row],[Date 
du paiement]]="",IF(Tableau3453[[#This Row],[Jours]]&gt;Tableau3453[[#This Row],[Conditions
pmt+]]+5,"oui",""),"")</f>
        <v/>
      </c>
      <c r="D184" s="238" t="s">
        <v>921</v>
      </c>
      <c r="E184" s="240">
        <v>45366</v>
      </c>
      <c r="F184" s="241">
        <v>977.7</v>
      </c>
      <c r="G184" s="242" t="str">
        <f>IF(Tableau3453[[#This Row],[Date 
du paiement]]="",Tableau3453[[#This Row],[Montant
de la facture
CHF]],"")</f>
        <v/>
      </c>
      <c r="H184" s="243"/>
      <c r="I184" s="245">
        <v>45370</v>
      </c>
      <c r="J184" s="246">
        <v>45415</v>
      </c>
      <c r="K184" s="247" t="s">
        <v>58</v>
      </c>
      <c r="L184" s="248">
        <v>1</v>
      </c>
      <c r="M184" s="248">
        <f>IF(Tableau3453[[#This Row],[Date 
du paiement]]="",$D$4-Tableau3453[[#This Row],[Date
de la facture]],Tableau3453[[#This Row],[Date 
du paiement]]-Tableau3453[[#This Row],[Date
de la facture]])</f>
        <v>49</v>
      </c>
      <c r="N184" s="241" t="str">
        <f>IF(Tableau3453[[#This Row],[Date 
du paiement]]="",IF(Tableau3453[[#This Row],[Jours]]&lt;30,Tableau3453[[#This Row],[Montant
de la facture
CHF]],""),"")</f>
        <v/>
      </c>
      <c r="O184" s="241" t="str">
        <f>IF(Tableau3453[[#This Row],[Date 
du paiement]]="",IF(Tableau3453[[#This Row],[Jours]]&gt;30,IF(Tableau3453[[#This Row],[Jours]]&lt;60,Tableau3453[[#This Row],[Montant
de la facture
CHF]],""),""),"")</f>
        <v/>
      </c>
      <c r="P184" s="241" t="str">
        <f>IF(Tableau3453[[#This Row],[Date 
du paiement]]="",IF(Tableau3453[[#This Row],[Jours]]&gt;60,Tableau3453[[#This Row],[Montant
de la facture
CHF]],""),"")</f>
        <v/>
      </c>
      <c r="Q184" s="249"/>
      <c r="R184" s="250" t="str">
        <f>Tableau3453[[#This Row],[Solde 
ouverte
fm]]</f>
        <v/>
      </c>
      <c r="S18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5" spans="1:19" hidden="1" outlineLevel="1" x14ac:dyDescent="0.25">
      <c r="A185" s="238">
        <v>230825</v>
      </c>
      <c r="B185" s="239" t="s">
        <v>860</v>
      </c>
      <c r="C185" s="352" t="str">
        <f>IF(Tableau3453[[#This Row],[Date 
du paiement]]="",IF(Tableau3453[[#This Row],[Jours]]&gt;Tableau3453[[#This Row],[Conditions
pmt+]]+5,"oui",""),"")</f>
        <v/>
      </c>
      <c r="D185" s="238" t="s">
        <v>880</v>
      </c>
      <c r="E185" s="240">
        <v>45366</v>
      </c>
      <c r="F185" s="241">
        <v>6348.15</v>
      </c>
      <c r="G185" s="242" t="str">
        <f>IF(Tableau3453[[#This Row],[Date 
du paiement]]="",Tableau3453[[#This Row],[Montant
de la facture
CHF]],"")</f>
        <v/>
      </c>
      <c r="H185" s="243"/>
      <c r="I185" s="245">
        <v>45370</v>
      </c>
      <c r="J185" s="246">
        <v>45391</v>
      </c>
      <c r="K185" s="247" t="s">
        <v>58</v>
      </c>
      <c r="L185" s="248"/>
      <c r="M185" s="248">
        <f>IF(Tableau3453[[#This Row],[Date 
du paiement]]="",$D$4-Tableau3453[[#This Row],[Date
de la facture]],Tableau3453[[#This Row],[Date 
du paiement]]-Tableau3453[[#This Row],[Date
de la facture]])</f>
        <v>25</v>
      </c>
      <c r="N185" s="241" t="str">
        <f>IF(Tableau3453[[#This Row],[Date 
du paiement]]="",IF(Tableau3453[[#This Row],[Jours]]&lt;30,Tableau3453[[#This Row],[Montant
de la facture
CHF]],""),"")</f>
        <v/>
      </c>
      <c r="O185" s="241" t="str">
        <f>IF(Tableau3453[[#This Row],[Date 
du paiement]]="",IF(Tableau3453[[#This Row],[Jours]]&gt;30,IF(Tableau3453[[#This Row],[Jours]]&lt;60,Tableau3453[[#This Row],[Montant
de la facture
CHF]],""),""),"")</f>
        <v/>
      </c>
      <c r="P185" s="241" t="str">
        <f>IF(Tableau3453[[#This Row],[Date 
du paiement]]="",IF(Tableau3453[[#This Row],[Jours]]&gt;60,Tableau3453[[#This Row],[Montant
de la facture
CHF]],""),"")</f>
        <v/>
      </c>
      <c r="Q185" s="249"/>
      <c r="R185" s="250" t="str">
        <f>Tableau3453[[#This Row],[Solde 
ouverte
fm]]</f>
        <v/>
      </c>
      <c r="S1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6" spans="1:19" hidden="1" outlineLevel="1" x14ac:dyDescent="0.25">
      <c r="A186" s="238">
        <v>240265</v>
      </c>
      <c r="B186" s="239" t="s">
        <v>860</v>
      </c>
      <c r="C186" s="352" t="str">
        <f>IF(Tableau3453[[#This Row],[Date 
du paiement]]="",IF(Tableau3453[[#This Row],[Jours]]&gt;Tableau3453[[#This Row],[Conditions
pmt+]]+5,"oui",""),"")</f>
        <v/>
      </c>
      <c r="D186" s="238" t="s">
        <v>918</v>
      </c>
      <c r="E186" s="240">
        <v>45369</v>
      </c>
      <c r="F186" s="241">
        <v>1313.75</v>
      </c>
      <c r="G186" s="242" t="str">
        <f>IF(Tableau3453[[#This Row],[Date 
du paiement]]="",Tableau3453[[#This Row],[Montant
de la facture
CHF]],"")</f>
        <v/>
      </c>
      <c r="H186" s="243" t="s">
        <v>886</v>
      </c>
      <c r="I186" s="245">
        <v>45370</v>
      </c>
      <c r="J186" s="246">
        <v>45441</v>
      </c>
      <c r="K186" s="247" t="s">
        <v>58</v>
      </c>
      <c r="L186" s="248">
        <v>2</v>
      </c>
      <c r="M186" s="248">
        <f>IF(Tableau3453[[#This Row],[Date 
du paiement]]="",$D$4-Tableau3453[[#This Row],[Date
de la facture]],Tableau3453[[#This Row],[Date 
du paiement]]-Tableau3453[[#This Row],[Date
de la facture]])</f>
        <v>72</v>
      </c>
      <c r="N186" s="241" t="str">
        <f>IF(Tableau3453[[#This Row],[Date 
du paiement]]="",IF(Tableau3453[[#This Row],[Jours]]&lt;30,Tableau3453[[#This Row],[Montant
de la facture
CHF]],""),"")</f>
        <v/>
      </c>
      <c r="O186" s="241" t="str">
        <f>IF(Tableau3453[[#This Row],[Date 
du paiement]]="",IF(Tableau3453[[#This Row],[Jours]]&gt;30,IF(Tableau3453[[#This Row],[Jours]]&lt;60,Tableau3453[[#This Row],[Montant
de la facture
CHF]],""),""),"")</f>
        <v/>
      </c>
      <c r="P186" s="241" t="str">
        <f>IF(Tableau3453[[#This Row],[Date 
du paiement]]="",IF(Tableau3453[[#This Row],[Jours]]&gt;60,Tableau3453[[#This Row],[Montant
de la facture
CHF]],""),"")</f>
        <v/>
      </c>
      <c r="Q186" s="249"/>
      <c r="R186" s="250" t="str">
        <f>Tableau3453[[#This Row],[Solde 
ouverte
fm]]</f>
        <v/>
      </c>
      <c r="S1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7" spans="1:19" hidden="1" outlineLevel="1" x14ac:dyDescent="0.25">
      <c r="A187" s="238">
        <v>240096</v>
      </c>
      <c r="B187" s="239" t="s">
        <v>860</v>
      </c>
      <c r="C187" s="352" t="str">
        <f>IF(Tableau3453[[#This Row],[Date 
du paiement]]="",IF(Tableau3453[[#This Row],[Jours]]&gt;Tableau3453[[#This Row],[Conditions
pmt+]]+5,"oui",""),"")</f>
        <v/>
      </c>
      <c r="D187" s="238" t="s">
        <v>909</v>
      </c>
      <c r="E187" s="240">
        <v>45369</v>
      </c>
      <c r="F187" s="241">
        <v>19652.75</v>
      </c>
      <c r="G187" s="242" t="str">
        <f>IF(Tableau3453[[#This Row],[Date 
du paiement]]="",Tableau3453[[#This Row],[Montant
de la facture
CHF]],"")</f>
        <v/>
      </c>
      <c r="H187" s="243" t="s">
        <v>922</v>
      </c>
      <c r="I187" s="245">
        <v>45373</v>
      </c>
      <c r="J187" s="246">
        <v>45418</v>
      </c>
      <c r="K187" s="247" t="s">
        <v>58</v>
      </c>
      <c r="L187" s="248"/>
      <c r="M187" s="248">
        <f>IF(Tableau3453[[#This Row],[Date 
du paiement]]="",$D$4-Tableau3453[[#This Row],[Date
de la facture]],Tableau3453[[#This Row],[Date 
du paiement]]-Tableau3453[[#This Row],[Date
de la facture]])</f>
        <v>49</v>
      </c>
      <c r="N187" s="241" t="str">
        <f>IF(Tableau3453[[#This Row],[Date 
du paiement]]="",IF(Tableau3453[[#This Row],[Jours]]&lt;30,Tableau3453[[#This Row],[Montant
de la facture
CHF]],""),"")</f>
        <v/>
      </c>
      <c r="O187" s="241" t="str">
        <f>IF(Tableau3453[[#This Row],[Date 
du paiement]]="",IF(Tableau3453[[#This Row],[Jours]]&gt;30,IF(Tableau3453[[#This Row],[Jours]]&lt;60,Tableau3453[[#This Row],[Montant
de la facture
CHF]],""),""),"")</f>
        <v/>
      </c>
      <c r="P187" s="241" t="str">
        <f>IF(Tableau3453[[#This Row],[Date 
du paiement]]="",IF(Tableau3453[[#This Row],[Jours]]&gt;60,Tableau3453[[#This Row],[Montant
de la facture
CHF]],""),"")</f>
        <v/>
      </c>
      <c r="Q187" s="249"/>
      <c r="R187" s="250" t="str">
        <f>Tableau3453[[#This Row],[Solde 
ouverte
fm]]</f>
        <v/>
      </c>
      <c r="S18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8" spans="1:19" hidden="1" outlineLevel="1" x14ac:dyDescent="0.25">
      <c r="A188" s="238">
        <v>240257</v>
      </c>
      <c r="B188" s="239" t="s">
        <v>860</v>
      </c>
      <c r="C188" s="352" t="str">
        <f>IF(Tableau3453[[#This Row],[Date 
du paiement]]="",IF(Tableau3453[[#This Row],[Jours]]&gt;Tableau3453[[#This Row],[Conditions
pmt+]]+5,"oui",""),"")</f>
        <v/>
      </c>
      <c r="D188" s="251" t="s">
        <v>964</v>
      </c>
      <c r="E188" s="240">
        <v>45369</v>
      </c>
      <c r="F188" s="241">
        <v>2900.85</v>
      </c>
      <c r="G188" s="242" t="str">
        <f>IF(Tableau3453[[#This Row],[Date 
du paiement]]="",Tableau3453[[#This Row],[Montant
de la facture
CHF]],"")</f>
        <v/>
      </c>
      <c r="H188" s="243"/>
      <c r="I188" s="245">
        <v>45370</v>
      </c>
      <c r="J188" s="246">
        <v>45397</v>
      </c>
      <c r="K188" s="247" t="s">
        <v>58</v>
      </c>
      <c r="L188" s="248"/>
      <c r="M188" s="248">
        <f>IF(Tableau3453[[#This Row],[Date 
du paiement]]="",$D$4-Tableau3453[[#This Row],[Date
de la facture]],Tableau3453[[#This Row],[Date 
du paiement]]-Tableau3453[[#This Row],[Date
de la facture]])</f>
        <v>28</v>
      </c>
      <c r="N188" s="241" t="str">
        <f>IF(Tableau3453[[#This Row],[Date 
du paiement]]="",IF(Tableau3453[[#This Row],[Jours]]&lt;30,Tableau3453[[#This Row],[Montant
de la facture
CHF]],""),"")</f>
        <v/>
      </c>
      <c r="O188" s="241" t="str">
        <f>IF(Tableau3453[[#This Row],[Date 
du paiement]]="",IF(Tableau3453[[#This Row],[Jours]]&gt;30,IF(Tableau3453[[#This Row],[Jours]]&lt;60,Tableau3453[[#This Row],[Montant
de la facture
CHF]],""),""),"")</f>
        <v/>
      </c>
      <c r="P188" s="241" t="str">
        <f>IF(Tableau3453[[#This Row],[Date 
du paiement]]="",IF(Tableau3453[[#This Row],[Jours]]&gt;60,Tableau3453[[#This Row],[Montant
de la facture
CHF]],""),"")</f>
        <v/>
      </c>
      <c r="Q188" s="249"/>
      <c r="R188" s="250" t="str">
        <f>Tableau3453[[#This Row],[Solde 
ouverte
fm]]</f>
        <v/>
      </c>
      <c r="S18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89" spans="1:19" hidden="1" outlineLevel="1" x14ac:dyDescent="0.25">
      <c r="A189" s="238">
        <v>9</v>
      </c>
      <c r="B189" s="239" t="s">
        <v>860</v>
      </c>
      <c r="C189" s="352" t="str">
        <f>IF(Tableau3453[[#This Row],[Date 
du paiement]]="",IF(Tableau3453[[#This Row],[Jours]]&gt;Tableau3453[[#This Row],[Conditions
pmt+]]+5,"oui",""),"")</f>
        <v/>
      </c>
      <c r="D189" s="251" t="s">
        <v>885</v>
      </c>
      <c r="E189" s="240">
        <v>45370</v>
      </c>
      <c r="F189" s="241">
        <v>-29.2</v>
      </c>
      <c r="G189" s="242" t="str">
        <f>IF(Tableau3453[[#This Row],[Date 
du paiement]]="",Tableau3453[[#This Row],[Montant
de la facture
CHF]],"")</f>
        <v/>
      </c>
      <c r="H189" s="243" t="s">
        <v>965</v>
      </c>
      <c r="I189" s="245">
        <v>45370</v>
      </c>
      <c r="J189" s="246">
        <v>45370</v>
      </c>
      <c r="K189" s="247" t="s">
        <v>150</v>
      </c>
      <c r="L189" s="248"/>
      <c r="M189" s="248">
        <f>IF(Tableau3453[[#This Row],[Date 
du paiement]]="",$D$4-Tableau3453[[#This Row],[Date
de la facture]],Tableau3453[[#This Row],[Date 
du paiement]]-Tableau3453[[#This Row],[Date
de la facture]])</f>
        <v>0</v>
      </c>
      <c r="N189" s="241" t="str">
        <f>IF(Tableau3453[[#This Row],[Date 
du paiement]]="",IF(Tableau3453[[#This Row],[Jours]]&lt;30,Tableau3453[[#This Row],[Montant
de la facture
CHF]],""),"")</f>
        <v/>
      </c>
      <c r="O189" s="241" t="str">
        <f>IF(Tableau3453[[#This Row],[Date 
du paiement]]="",IF(Tableau3453[[#This Row],[Jours]]&gt;30,IF(Tableau3453[[#This Row],[Jours]]&lt;60,Tableau3453[[#This Row],[Montant
de la facture
CHF]],""),""),"")</f>
        <v/>
      </c>
      <c r="P189" s="241" t="str">
        <f>IF(Tableau3453[[#This Row],[Date 
du paiement]]="",IF(Tableau3453[[#This Row],[Jours]]&gt;60,Tableau3453[[#This Row],[Montant
de la facture
CHF]],""),"")</f>
        <v/>
      </c>
      <c r="Q189" s="249"/>
      <c r="R189" s="250" t="str">
        <f>Tableau3453[[#This Row],[Solde 
ouverte
fm]]</f>
        <v/>
      </c>
      <c r="S18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0" spans="1:19" hidden="1" outlineLevel="1" x14ac:dyDescent="0.25">
      <c r="A190" s="238">
        <v>240244</v>
      </c>
      <c r="B190" s="239" t="s">
        <v>857</v>
      </c>
      <c r="C190" s="352" t="str">
        <f>IF(Tableau3453[[#This Row],[Date 
du paiement]]="",IF(Tableau3453[[#This Row],[Jours]]&gt;Tableau3453[[#This Row],[Conditions
pmt+]]+5,"oui",""),"")</f>
        <v/>
      </c>
      <c r="D190" s="238" t="s">
        <v>968</v>
      </c>
      <c r="E190" s="240">
        <v>45371</v>
      </c>
      <c r="F190" s="241">
        <v>277.85000000000002</v>
      </c>
      <c r="G190" s="242" t="str">
        <f>IF(Tableau3453[[#This Row],[Date 
du paiement]]="",Tableau3453[[#This Row],[Montant
de la facture
CHF]],"")</f>
        <v/>
      </c>
      <c r="H190" s="243"/>
      <c r="I190" s="245">
        <v>45373</v>
      </c>
      <c r="J190" s="246">
        <v>45453</v>
      </c>
      <c r="K190" s="247" t="s">
        <v>58</v>
      </c>
      <c r="L190" s="248">
        <v>2</v>
      </c>
      <c r="M190" s="248">
        <f>IF(Tableau3453[[#This Row],[Date 
du paiement]]="",$D$4-Tableau3453[[#This Row],[Date
de la facture]],Tableau3453[[#This Row],[Date 
du paiement]]-Tableau3453[[#This Row],[Date
de la facture]])</f>
        <v>82</v>
      </c>
      <c r="N190" s="241" t="str">
        <f>IF(Tableau3453[[#This Row],[Date 
du paiement]]="",IF(Tableau3453[[#This Row],[Jours]]&lt;30,Tableau3453[[#This Row],[Montant
de la facture
CHF]],""),"")</f>
        <v/>
      </c>
      <c r="O190" s="241" t="str">
        <f>IF(Tableau3453[[#This Row],[Date 
du paiement]]="",IF(Tableau3453[[#This Row],[Jours]]&gt;30,IF(Tableau3453[[#This Row],[Jours]]&lt;60,Tableau3453[[#This Row],[Montant
de la facture
CHF]],""),""),"")</f>
        <v/>
      </c>
      <c r="P190" s="241" t="str">
        <f>IF(Tableau3453[[#This Row],[Date 
du paiement]]="",IF(Tableau3453[[#This Row],[Jours]]&gt;60,Tableau3453[[#This Row],[Montant
de la facture
CHF]],""),"")</f>
        <v/>
      </c>
      <c r="Q190" s="249"/>
      <c r="R190" s="250" t="str">
        <f>Tableau3453[[#This Row],[Solde 
ouverte
fm]]</f>
        <v/>
      </c>
      <c r="S1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1" spans="1:19" hidden="1" outlineLevel="1" x14ac:dyDescent="0.25">
      <c r="A191" s="238">
        <v>240298</v>
      </c>
      <c r="B191" s="239" t="s">
        <v>860</v>
      </c>
      <c r="C191" s="352" t="str">
        <f>IF(Tableau3453[[#This Row],[Date 
du paiement]]="",IF(Tableau3453[[#This Row],[Jours]]&gt;Tableau3453[[#This Row],[Conditions
pmt+]]+5,"oui",""),"")</f>
        <v/>
      </c>
      <c r="D191" s="238" t="s">
        <v>867</v>
      </c>
      <c r="E191" s="240">
        <v>45371</v>
      </c>
      <c r="F191" s="241">
        <v>174.05</v>
      </c>
      <c r="G191" s="242" t="str">
        <f>IF(Tableau3453[[#This Row],[Date 
du paiement]]="",Tableau3453[[#This Row],[Montant
de la facture
CHF]],"")</f>
        <v/>
      </c>
      <c r="H191" s="243" t="s">
        <v>966</v>
      </c>
      <c r="I191" s="245">
        <v>45377</v>
      </c>
      <c r="J191" s="246">
        <v>45433</v>
      </c>
      <c r="K191" s="247" t="s">
        <v>58</v>
      </c>
      <c r="L191" s="248">
        <v>2</v>
      </c>
      <c r="M191" s="248">
        <f>IF(Tableau3453[[#This Row],[Date 
du paiement]]="",$D$4-Tableau3453[[#This Row],[Date
de la facture]],Tableau3453[[#This Row],[Date 
du paiement]]-Tableau3453[[#This Row],[Date
de la facture]])</f>
        <v>62</v>
      </c>
      <c r="N191" s="241" t="str">
        <f>IF(Tableau3453[[#This Row],[Date 
du paiement]]="",IF(Tableau3453[[#This Row],[Jours]]&lt;30,Tableau3453[[#This Row],[Montant
de la facture
CHF]],""),"")</f>
        <v/>
      </c>
      <c r="O191" s="241" t="str">
        <f>IF(Tableau3453[[#This Row],[Date 
du paiement]]="",IF(Tableau3453[[#This Row],[Jours]]&gt;30,IF(Tableau3453[[#This Row],[Jours]]&lt;60,Tableau3453[[#This Row],[Montant
de la facture
CHF]],""),""),"")</f>
        <v/>
      </c>
      <c r="P191" s="241" t="str">
        <f>IF(Tableau3453[[#This Row],[Date 
du paiement]]="",IF(Tableau3453[[#This Row],[Jours]]&gt;60,Tableau3453[[#This Row],[Montant
de la facture
CHF]],""),"")</f>
        <v/>
      </c>
      <c r="Q191" s="249"/>
      <c r="R191" s="250" t="str">
        <f>Tableau3453[[#This Row],[Solde 
ouverte
fm]]</f>
        <v/>
      </c>
      <c r="S1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2" spans="1:19" hidden="1" outlineLevel="1" x14ac:dyDescent="0.25">
      <c r="A192" s="238">
        <v>240267</v>
      </c>
      <c r="B192" s="239" t="s">
        <v>860</v>
      </c>
      <c r="C192" s="352" t="str">
        <f>IF(Tableau3453[[#This Row],[Date 
du paiement]]="",IF(Tableau3453[[#This Row],[Jours]]&gt;Tableau3453[[#This Row],[Conditions
pmt+]]+5,"oui",""),"")</f>
        <v/>
      </c>
      <c r="D192" s="238" t="s">
        <v>919</v>
      </c>
      <c r="E192" s="240">
        <v>45371</v>
      </c>
      <c r="F192" s="241">
        <v>2520.5500000000002</v>
      </c>
      <c r="G192" s="242" t="str">
        <f>IF(Tableau3453[[#This Row],[Date 
du paiement]]="",Tableau3453[[#This Row],[Montant
de la facture
CHF]],"")</f>
        <v/>
      </c>
      <c r="H192" s="243"/>
      <c r="I192" s="245">
        <v>45373</v>
      </c>
      <c r="J192" s="246">
        <v>45429</v>
      </c>
      <c r="K192" s="247" t="s">
        <v>58</v>
      </c>
      <c r="L192" s="248">
        <v>2</v>
      </c>
      <c r="M192" s="248">
        <f>IF(Tableau3453[[#This Row],[Date 
du paiement]]="",$D$4-Tableau3453[[#This Row],[Date
de la facture]],Tableau3453[[#This Row],[Date 
du paiement]]-Tableau3453[[#This Row],[Date
de la facture]])</f>
        <v>58</v>
      </c>
      <c r="N192" s="241" t="str">
        <f>IF(Tableau3453[[#This Row],[Date 
du paiement]]="",IF(Tableau3453[[#This Row],[Jours]]&lt;30,Tableau3453[[#This Row],[Montant
de la facture
CHF]],""),"")</f>
        <v/>
      </c>
      <c r="O192" s="241" t="str">
        <f>IF(Tableau3453[[#This Row],[Date 
du paiement]]="",IF(Tableau3453[[#This Row],[Jours]]&gt;30,IF(Tableau3453[[#This Row],[Jours]]&lt;60,Tableau3453[[#This Row],[Montant
de la facture
CHF]],""),""),"")</f>
        <v/>
      </c>
      <c r="P192" s="241" t="str">
        <f>IF(Tableau3453[[#This Row],[Date 
du paiement]]="",IF(Tableau3453[[#This Row],[Jours]]&gt;60,Tableau3453[[#This Row],[Montant
de la facture
CHF]],""),"")</f>
        <v/>
      </c>
      <c r="Q192" s="249"/>
      <c r="R192" s="250" t="str">
        <f>Tableau3453[[#This Row],[Solde 
ouverte
fm]]</f>
        <v/>
      </c>
      <c r="S19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3" spans="1:19" hidden="1" outlineLevel="1" x14ac:dyDescent="0.25">
      <c r="A193" s="238">
        <v>240262</v>
      </c>
      <c r="B193" s="239" t="s">
        <v>860</v>
      </c>
      <c r="C193" s="352" t="str">
        <f>IF(Tableau3453[[#This Row],[Date 
du paiement]]="",IF(Tableau3453[[#This Row],[Jours]]&gt;Tableau3453[[#This Row],[Conditions
pmt+]]+5,"oui",""),"")</f>
        <v/>
      </c>
      <c r="D193" s="238" t="s">
        <v>867</v>
      </c>
      <c r="E193" s="240">
        <v>45371</v>
      </c>
      <c r="F193" s="241">
        <v>2340.1</v>
      </c>
      <c r="G193" s="242" t="str">
        <f>IF(Tableau3453[[#This Row],[Date 
du paiement]]="",Tableau3453[[#This Row],[Montant
de la facture
CHF]],"")</f>
        <v/>
      </c>
      <c r="H193" s="243" t="s">
        <v>967</v>
      </c>
      <c r="I193" s="245">
        <v>45373</v>
      </c>
      <c r="J193" s="246">
        <v>45401</v>
      </c>
      <c r="K193" s="247" t="s">
        <v>58</v>
      </c>
      <c r="L193" s="248"/>
      <c r="M193" s="248">
        <f>IF(Tableau3453[[#This Row],[Date 
du paiement]]="",$D$4-Tableau3453[[#This Row],[Date
de la facture]],Tableau3453[[#This Row],[Date 
du paiement]]-Tableau3453[[#This Row],[Date
de la facture]])</f>
        <v>30</v>
      </c>
      <c r="N193" s="241" t="str">
        <f>IF(Tableau3453[[#This Row],[Date 
du paiement]]="",IF(Tableau3453[[#This Row],[Jours]]&lt;30,Tableau3453[[#This Row],[Montant
de la facture
CHF]],""),"")</f>
        <v/>
      </c>
      <c r="O193" s="241" t="str">
        <f>IF(Tableau3453[[#This Row],[Date 
du paiement]]="",IF(Tableau3453[[#This Row],[Jours]]&gt;30,IF(Tableau3453[[#This Row],[Jours]]&lt;60,Tableau3453[[#This Row],[Montant
de la facture
CHF]],""),""),"")</f>
        <v/>
      </c>
      <c r="P193" s="241" t="str">
        <f>IF(Tableau3453[[#This Row],[Date 
du paiement]]="",IF(Tableau3453[[#This Row],[Jours]]&gt;60,Tableau3453[[#This Row],[Montant
de la facture
CHF]],""),"")</f>
        <v/>
      </c>
      <c r="Q193" s="249"/>
      <c r="R193" s="250" t="str">
        <f>Tableau3453[[#This Row],[Solde 
ouverte
fm]]</f>
        <v/>
      </c>
      <c r="S19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4" spans="1:19" hidden="1" outlineLevel="1" x14ac:dyDescent="0.25">
      <c r="A194" s="238">
        <v>240174</v>
      </c>
      <c r="B194" s="239" t="s">
        <v>860</v>
      </c>
      <c r="C194" s="352" t="str">
        <f>IF(Tableau3453[[#This Row],[Date 
du paiement]]="",IF(Tableau3453[[#This Row],[Jours]]&gt;Tableau3453[[#This Row],[Conditions
pmt+]]+5,"oui",""),"")</f>
        <v/>
      </c>
      <c r="D194" s="238" t="s">
        <v>909</v>
      </c>
      <c r="E194" s="240">
        <v>45372</v>
      </c>
      <c r="F194" s="241">
        <v>4552.8999999999996</v>
      </c>
      <c r="G194" s="242" t="str">
        <f>IF(Tableau3453[[#This Row],[Date 
du paiement]]="",Tableau3453[[#This Row],[Montant
de la facture
CHF]],"")</f>
        <v/>
      </c>
      <c r="H194" s="243" t="s">
        <v>922</v>
      </c>
      <c r="I194" s="245">
        <v>45378</v>
      </c>
      <c r="J194" s="246">
        <v>45418</v>
      </c>
      <c r="K194" s="247" t="s">
        <v>58</v>
      </c>
      <c r="L194" s="248"/>
      <c r="M194" s="248">
        <f>IF(Tableau3453[[#This Row],[Date 
du paiement]]="",$D$4-Tableau3453[[#This Row],[Date
de la facture]],Tableau3453[[#This Row],[Date 
du paiement]]-Tableau3453[[#This Row],[Date
de la facture]])</f>
        <v>46</v>
      </c>
      <c r="N194" s="241" t="str">
        <f>IF(Tableau3453[[#This Row],[Date 
du paiement]]="",IF(Tableau3453[[#This Row],[Jours]]&lt;30,Tableau3453[[#This Row],[Montant
de la facture
CHF]],""),"")</f>
        <v/>
      </c>
      <c r="O194" s="241" t="str">
        <f>IF(Tableau3453[[#This Row],[Date 
du paiement]]="",IF(Tableau3453[[#This Row],[Jours]]&gt;30,IF(Tableau3453[[#This Row],[Jours]]&lt;60,Tableau3453[[#This Row],[Montant
de la facture
CHF]],""),""),"")</f>
        <v/>
      </c>
      <c r="P194" s="241" t="str">
        <f>IF(Tableau3453[[#This Row],[Date 
du paiement]]="",IF(Tableau3453[[#This Row],[Jours]]&gt;60,Tableau3453[[#This Row],[Montant
de la facture
CHF]],""),"")</f>
        <v/>
      </c>
      <c r="Q194" s="249"/>
      <c r="R194" s="250" t="str">
        <f>Tableau3453[[#This Row],[Solde 
ouverte
fm]]</f>
        <v/>
      </c>
      <c r="S19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5" spans="1:19" hidden="1" outlineLevel="1" x14ac:dyDescent="0.25">
      <c r="A195" s="238">
        <v>240175</v>
      </c>
      <c r="B195" s="239" t="s">
        <v>860</v>
      </c>
      <c r="C195" s="352" t="str">
        <f>IF(Tableau3453[[#This Row],[Date 
du paiement]]="",IF(Tableau3453[[#This Row],[Jours]]&gt;Tableau3453[[#This Row],[Conditions
pmt+]]+5,"oui",""),"")</f>
        <v/>
      </c>
      <c r="D195" s="238" t="s">
        <v>909</v>
      </c>
      <c r="E195" s="240">
        <v>45372</v>
      </c>
      <c r="F195" s="241">
        <v>11960.05</v>
      </c>
      <c r="G195" s="242" t="str">
        <f>IF(Tableau3453[[#This Row],[Date 
du paiement]]="",Tableau3453[[#This Row],[Montant
de la facture
CHF]],"")</f>
        <v/>
      </c>
      <c r="H195" s="243" t="s">
        <v>922</v>
      </c>
      <c r="I195" s="245">
        <v>45378</v>
      </c>
      <c r="J195" s="246">
        <v>45418</v>
      </c>
      <c r="K195" s="247" t="s">
        <v>58</v>
      </c>
      <c r="L195" s="248"/>
      <c r="M195" s="248">
        <f>IF(Tableau3453[[#This Row],[Date 
du paiement]]="",$D$4-Tableau3453[[#This Row],[Date
de la facture]],Tableau3453[[#This Row],[Date 
du paiement]]-Tableau3453[[#This Row],[Date
de la facture]])</f>
        <v>46</v>
      </c>
      <c r="N195" s="241" t="str">
        <f>IF(Tableau3453[[#This Row],[Date 
du paiement]]="",IF(Tableau3453[[#This Row],[Jours]]&lt;30,Tableau3453[[#This Row],[Montant
de la facture
CHF]],""),"")</f>
        <v/>
      </c>
      <c r="O195" s="241" t="str">
        <f>IF(Tableau3453[[#This Row],[Date 
du paiement]]="",IF(Tableau3453[[#This Row],[Jours]]&gt;30,IF(Tableau3453[[#This Row],[Jours]]&lt;60,Tableau3453[[#This Row],[Montant
de la facture
CHF]],""),""),"")</f>
        <v/>
      </c>
      <c r="P195" s="241" t="str">
        <f>IF(Tableau3453[[#This Row],[Date 
du paiement]]="",IF(Tableau3453[[#This Row],[Jours]]&gt;60,Tableau3453[[#This Row],[Montant
de la facture
CHF]],""),"")</f>
        <v/>
      </c>
      <c r="Q195" s="249"/>
      <c r="R195" s="250" t="str">
        <f>Tableau3453[[#This Row],[Solde 
ouverte
fm]]</f>
        <v/>
      </c>
      <c r="S19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6" spans="1:19" hidden="1" outlineLevel="1" x14ac:dyDescent="0.25">
      <c r="A196" s="238">
        <v>240253</v>
      </c>
      <c r="B196" s="239" t="s">
        <v>860</v>
      </c>
      <c r="C196" s="352" t="str">
        <f>IF(Tableau3453[[#This Row],[Date 
du paiement]]="",IF(Tableau3453[[#This Row],[Jours]]&gt;Tableau3453[[#This Row],[Conditions
pmt+]]+5,"oui",""),"")</f>
        <v/>
      </c>
      <c r="D196" s="238" t="s">
        <v>900</v>
      </c>
      <c r="E196" s="240">
        <v>45372</v>
      </c>
      <c r="F196" s="241">
        <v>1245.3</v>
      </c>
      <c r="G196" s="242" t="str">
        <f>IF(Tableau3453[[#This Row],[Date 
du paiement]]="",Tableau3453[[#This Row],[Montant
de la facture
CHF]],"")</f>
        <v/>
      </c>
      <c r="H196" s="243"/>
      <c r="I196" s="245">
        <v>45373</v>
      </c>
      <c r="J196" s="246">
        <v>45415</v>
      </c>
      <c r="K196" s="247" t="s">
        <v>58</v>
      </c>
      <c r="L196" s="248">
        <v>1</v>
      </c>
      <c r="M196" s="248">
        <f>IF(Tableau3453[[#This Row],[Date 
du paiement]]="",$D$4-Tableau3453[[#This Row],[Date
de la facture]],Tableau3453[[#This Row],[Date 
du paiement]]-Tableau3453[[#This Row],[Date
de la facture]])</f>
        <v>43</v>
      </c>
      <c r="N196" s="241" t="str">
        <f>IF(Tableau3453[[#This Row],[Date 
du paiement]]="",IF(Tableau3453[[#This Row],[Jours]]&lt;30,Tableau3453[[#This Row],[Montant
de la facture
CHF]],""),"")</f>
        <v/>
      </c>
      <c r="O196" s="241" t="str">
        <f>IF(Tableau3453[[#This Row],[Date 
du paiement]]="",IF(Tableau3453[[#This Row],[Jours]]&gt;30,IF(Tableau3453[[#This Row],[Jours]]&lt;60,Tableau3453[[#This Row],[Montant
de la facture
CHF]],""),""),"")</f>
        <v/>
      </c>
      <c r="P196" s="241" t="str">
        <f>IF(Tableau3453[[#This Row],[Date 
du paiement]]="",IF(Tableau3453[[#This Row],[Jours]]&gt;60,Tableau3453[[#This Row],[Montant
de la facture
CHF]],""),"")</f>
        <v/>
      </c>
      <c r="Q196" s="249"/>
      <c r="R196" s="250" t="str">
        <f>Tableau3453[[#This Row],[Solde 
ouverte
fm]]</f>
        <v/>
      </c>
      <c r="S19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7" spans="1:19" hidden="1" outlineLevel="1" x14ac:dyDescent="0.25">
      <c r="A197" s="238">
        <v>240269</v>
      </c>
      <c r="B197" s="239" t="s">
        <v>860</v>
      </c>
      <c r="C197" s="352" t="str">
        <f>IF(Tableau3453[[#This Row],[Date 
du paiement]]="",IF(Tableau3453[[#This Row],[Jours]]&gt;Tableau3453[[#This Row],[Conditions
pmt+]]+5,"oui",""),"")</f>
        <v/>
      </c>
      <c r="D197" s="238" t="s">
        <v>969</v>
      </c>
      <c r="E197" s="240">
        <v>45372</v>
      </c>
      <c r="F197" s="241">
        <v>851.9</v>
      </c>
      <c r="G197" s="242" t="str">
        <f>IF(Tableau3453[[#This Row],[Date 
du paiement]]="",Tableau3453[[#This Row],[Montant
de la facture
CHF]],"")</f>
        <v/>
      </c>
      <c r="H197" s="243"/>
      <c r="I197" s="245">
        <v>45373</v>
      </c>
      <c r="J197" s="246">
        <v>45415</v>
      </c>
      <c r="K197" s="247" t="s">
        <v>58</v>
      </c>
      <c r="L197" s="248">
        <v>1</v>
      </c>
      <c r="M197" s="248">
        <f>IF(Tableau3453[[#This Row],[Date 
du paiement]]="",$D$4-Tableau3453[[#This Row],[Date
de la facture]],Tableau3453[[#This Row],[Date 
du paiement]]-Tableau3453[[#This Row],[Date
de la facture]])</f>
        <v>43</v>
      </c>
      <c r="N197" s="241" t="str">
        <f>IF(Tableau3453[[#This Row],[Date 
du paiement]]="",IF(Tableau3453[[#This Row],[Jours]]&lt;30,Tableau3453[[#This Row],[Montant
de la facture
CHF]],""),"")</f>
        <v/>
      </c>
      <c r="O197" s="241" t="str">
        <f>IF(Tableau3453[[#This Row],[Date 
du paiement]]="",IF(Tableau3453[[#This Row],[Jours]]&gt;30,IF(Tableau3453[[#This Row],[Jours]]&lt;60,Tableau3453[[#This Row],[Montant
de la facture
CHF]],""),""),"")</f>
        <v/>
      </c>
      <c r="P197" s="241" t="str">
        <f>IF(Tableau3453[[#This Row],[Date 
du paiement]]="",IF(Tableau3453[[#This Row],[Jours]]&gt;60,Tableau3453[[#This Row],[Montant
de la facture
CHF]],""),"")</f>
        <v/>
      </c>
      <c r="Q197" s="249"/>
      <c r="R197" s="250" t="str">
        <f>Tableau3453[[#This Row],[Solde 
ouverte
fm]]</f>
        <v/>
      </c>
      <c r="S19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8" spans="1:19" hidden="1" outlineLevel="1" x14ac:dyDescent="0.25">
      <c r="A198" s="238">
        <v>240249</v>
      </c>
      <c r="B198" s="239" t="s">
        <v>860</v>
      </c>
      <c r="C198" s="352" t="str">
        <f>IF(Tableau3453[[#This Row],[Date 
du paiement]]="",IF(Tableau3453[[#This Row],[Jours]]&gt;Tableau3453[[#This Row],[Conditions
pmt+]]+5,"oui",""),"")</f>
        <v/>
      </c>
      <c r="D198" s="238" t="s">
        <v>970</v>
      </c>
      <c r="E198" s="240">
        <v>45372</v>
      </c>
      <c r="F198" s="241">
        <v>6459.8</v>
      </c>
      <c r="G198" s="242" t="str">
        <f>IF(Tableau3453[[#This Row],[Date 
du paiement]]="",Tableau3453[[#This Row],[Montant
de la facture
CHF]],"")</f>
        <v/>
      </c>
      <c r="H198" s="243"/>
      <c r="I198" s="245">
        <v>45378</v>
      </c>
      <c r="J198" s="246">
        <v>45387</v>
      </c>
      <c r="K198" s="247" t="s">
        <v>58</v>
      </c>
      <c r="L198" s="248"/>
      <c r="M198" s="248">
        <f>IF(Tableau3453[[#This Row],[Date 
du paiement]]="",$D$4-Tableau3453[[#This Row],[Date
de la facture]],Tableau3453[[#This Row],[Date 
du paiement]]-Tableau3453[[#This Row],[Date
de la facture]])</f>
        <v>15</v>
      </c>
      <c r="N198" s="241" t="str">
        <f>IF(Tableau3453[[#This Row],[Date 
du paiement]]="",IF(Tableau3453[[#This Row],[Jours]]&lt;30,Tableau3453[[#This Row],[Montant
de la facture
CHF]],""),"")</f>
        <v/>
      </c>
      <c r="O198" s="241" t="str">
        <f>IF(Tableau3453[[#This Row],[Date 
du paiement]]="",IF(Tableau3453[[#This Row],[Jours]]&gt;30,IF(Tableau3453[[#This Row],[Jours]]&lt;60,Tableau3453[[#This Row],[Montant
de la facture
CHF]],""),""),"")</f>
        <v/>
      </c>
      <c r="P198" s="241" t="str">
        <f>IF(Tableau3453[[#This Row],[Date 
du paiement]]="",IF(Tableau3453[[#This Row],[Jours]]&gt;60,Tableau3453[[#This Row],[Montant
de la facture
CHF]],""),"")</f>
        <v/>
      </c>
      <c r="Q198" s="249"/>
      <c r="R198" s="250" t="str">
        <f>Tableau3453[[#This Row],[Solde 
ouverte
fm]]</f>
        <v/>
      </c>
      <c r="S19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199" spans="1:19" hidden="1" outlineLevel="1" x14ac:dyDescent="0.25">
      <c r="A199" s="238">
        <v>240288</v>
      </c>
      <c r="B199" s="239" t="s">
        <v>860</v>
      </c>
      <c r="C199" s="352" t="str">
        <f>IF(Tableau3453[[#This Row],[Date 
du paiement]]="",IF(Tableau3453[[#This Row],[Jours]]&gt;Tableau3453[[#This Row],[Conditions
pmt+]]+5,"oui",""),"")</f>
        <v/>
      </c>
      <c r="D199" s="238" t="s">
        <v>971</v>
      </c>
      <c r="E199" s="240">
        <v>45373</v>
      </c>
      <c r="F199" s="241">
        <v>1724</v>
      </c>
      <c r="G199" s="242" t="str">
        <f>IF(Tableau3453[[#This Row],[Date 
du paiement]]="",Tableau3453[[#This Row],[Montant
de la facture
CHF]],"")</f>
        <v/>
      </c>
      <c r="H199" s="243" t="s">
        <v>886</v>
      </c>
      <c r="I199" s="245">
        <v>45373</v>
      </c>
      <c r="J199" s="246">
        <v>45441</v>
      </c>
      <c r="K199" s="247" t="s">
        <v>58</v>
      </c>
      <c r="L199" s="248"/>
      <c r="M199" s="248">
        <f>IF(Tableau3453[[#This Row],[Date 
du paiement]]="",$D$4-Tableau3453[[#This Row],[Date
de la facture]],Tableau3453[[#This Row],[Date 
du paiement]]-Tableau3453[[#This Row],[Date
de la facture]])</f>
        <v>68</v>
      </c>
      <c r="N199" s="241" t="str">
        <f>IF(Tableau3453[[#This Row],[Date 
du paiement]]="",IF(Tableau3453[[#This Row],[Jours]]&lt;30,Tableau3453[[#This Row],[Montant
de la facture
CHF]],""),"")</f>
        <v/>
      </c>
      <c r="O199" s="241" t="str">
        <f>IF(Tableau3453[[#This Row],[Date 
du paiement]]="",IF(Tableau3453[[#This Row],[Jours]]&gt;30,IF(Tableau3453[[#This Row],[Jours]]&lt;60,Tableau3453[[#This Row],[Montant
de la facture
CHF]],""),""),"")</f>
        <v/>
      </c>
      <c r="P199" s="241" t="str">
        <f>IF(Tableau3453[[#This Row],[Date 
du paiement]]="",IF(Tableau3453[[#This Row],[Jours]]&gt;60,Tableau3453[[#This Row],[Montant
de la facture
CHF]],""),"")</f>
        <v/>
      </c>
      <c r="Q199" s="249"/>
      <c r="R199" s="250" t="str">
        <f>Tableau3453[[#This Row],[Solde 
ouverte
fm]]</f>
        <v/>
      </c>
      <c r="S19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0" spans="1:19" hidden="1" outlineLevel="1" x14ac:dyDescent="0.25">
      <c r="A200" s="238">
        <v>240264</v>
      </c>
      <c r="B200" s="239" t="s">
        <v>857</v>
      </c>
      <c r="C200" s="352" t="str">
        <f>IF(Tableau3453[[#This Row],[Date 
du paiement]]="",IF(Tableau3453[[#This Row],[Jours]]&gt;Tableau3453[[#This Row],[Conditions
pmt+]]+5,"oui",""),"")</f>
        <v/>
      </c>
      <c r="D200" s="238" t="s">
        <v>916</v>
      </c>
      <c r="E200" s="240">
        <v>45373</v>
      </c>
      <c r="F200" s="241">
        <v>5552.6</v>
      </c>
      <c r="G200" s="242" t="str">
        <f>IF(Tableau3453[[#This Row],[Date 
du paiement]]="",Tableau3453[[#This Row],[Montant
de la facture
CHF]],"")</f>
        <v/>
      </c>
      <c r="H200" s="243"/>
      <c r="I200" s="245">
        <v>45378</v>
      </c>
      <c r="J200" s="246">
        <v>45433</v>
      </c>
      <c r="K200" s="247" t="s">
        <v>58</v>
      </c>
      <c r="L200" s="248"/>
      <c r="M200" s="248">
        <f>IF(Tableau3453[[#This Row],[Date 
du paiement]]="",$D$4-Tableau3453[[#This Row],[Date
de la facture]],Tableau3453[[#This Row],[Date 
du paiement]]-Tableau3453[[#This Row],[Date
de la facture]])</f>
        <v>60</v>
      </c>
      <c r="N200" s="241" t="str">
        <f>IF(Tableau3453[[#This Row],[Date 
du paiement]]="",IF(Tableau3453[[#This Row],[Jours]]&lt;30,Tableau3453[[#This Row],[Montant
de la facture
CHF]],""),"")</f>
        <v/>
      </c>
      <c r="O200" s="241" t="str">
        <f>IF(Tableau3453[[#This Row],[Date 
du paiement]]="",IF(Tableau3453[[#This Row],[Jours]]&gt;30,IF(Tableau3453[[#This Row],[Jours]]&lt;60,Tableau3453[[#This Row],[Montant
de la facture
CHF]],""),""),"")</f>
        <v/>
      </c>
      <c r="P200" s="241" t="str">
        <f>IF(Tableau3453[[#This Row],[Date 
du paiement]]="",IF(Tableau3453[[#This Row],[Jours]]&gt;60,Tableau3453[[#This Row],[Montant
de la facture
CHF]],""),"")</f>
        <v/>
      </c>
      <c r="Q200" s="249"/>
      <c r="R200" s="250" t="str">
        <f>Tableau3453[[#This Row],[Solde 
ouverte
fm]]</f>
        <v/>
      </c>
      <c r="S20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1" spans="1:19" hidden="1" outlineLevel="1" x14ac:dyDescent="0.25">
      <c r="A201" s="238">
        <v>240252</v>
      </c>
      <c r="B201" s="239" t="s">
        <v>860</v>
      </c>
      <c r="C201" s="352" t="str">
        <f>IF(Tableau3453[[#This Row],[Date 
du paiement]]="",IF(Tableau3453[[#This Row],[Jours]]&gt;Tableau3453[[#This Row],[Conditions
pmt+]]+5,"oui",""),"")</f>
        <v/>
      </c>
      <c r="D201" s="238" t="s">
        <v>873</v>
      </c>
      <c r="E201" s="240">
        <v>45373</v>
      </c>
      <c r="F201" s="241">
        <v>2574.9499999999998</v>
      </c>
      <c r="G201" s="242" t="str">
        <f>IF(Tableau3453[[#This Row],[Date 
du paiement]]="",Tableau3453[[#This Row],[Montant
de la facture
CHF]],"")</f>
        <v/>
      </c>
      <c r="H201" s="243"/>
      <c r="I201" s="245">
        <v>45378</v>
      </c>
      <c r="J201" s="246">
        <v>45405</v>
      </c>
      <c r="K201" s="247" t="s">
        <v>58</v>
      </c>
      <c r="L201" s="248"/>
      <c r="M201" s="248">
        <f>IF(Tableau3453[[#This Row],[Date 
du paiement]]="",$D$4-Tableau3453[[#This Row],[Date
de la facture]],Tableau3453[[#This Row],[Date 
du paiement]]-Tableau3453[[#This Row],[Date
de la facture]])</f>
        <v>32</v>
      </c>
      <c r="N201" s="241" t="str">
        <f>IF(Tableau3453[[#This Row],[Date 
du paiement]]="",IF(Tableau3453[[#This Row],[Jours]]&lt;30,Tableau3453[[#This Row],[Montant
de la facture
CHF]],""),"")</f>
        <v/>
      </c>
      <c r="O201" s="241" t="str">
        <f>IF(Tableau3453[[#This Row],[Date 
du paiement]]="",IF(Tableau3453[[#This Row],[Jours]]&gt;30,IF(Tableau3453[[#This Row],[Jours]]&lt;60,Tableau3453[[#This Row],[Montant
de la facture
CHF]],""),""),"")</f>
        <v/>
      </c>
      <c r="P201" s="241" t="str">
        <f>IF(Tableau3453[[#This Row],[Date 
du paiement]]="",IF(Tableau3453[[#This Row],[Jours]]&gt;60,Tableau3453[[#This Row],[Montant
de la facture
CHF]],""),"")</f>
        <v/>
      </c>
      <c r="Q201" s="249"/>
      <c r="R201" s="250" t="str">
        <f>Tableau3453[[#This Row],[Solde 
ouverte
fm]]</f>
        <v/>
      </c>
      <c r="S20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2" spans="1:19" hidden="1" outlineLevel="1" x14ac:dyDescent="0.25">
      <c r="A202" s="238">
        <v>240176</v>
      </c>
      <c r="B202" s="239" t="s">
        <v>860</v>
      </c>
      <c r="C202" s="352" t="str">
        <f>IF(Tableau3453[[#This Row],[Date 
du paiement]]="",IF(Tableau3453[[#This Row],[Jours]]&gt;Tableau3453[[#This Row],[Conditions
pmt+]]+5,"oui",""),"")</f>
        <v/>
      </c>
      <c r="D202" s="251" t="s">
        <v>885</v>
      </c>
      <c r="E202" s="240">
        <v>45373</v>
      </c>
      <c r="F202" s="241">
        <v>38.450000000000003</v>
      </c>
      <c r="G202" s="242" t="str">
        <f>IF(Tableau3453[[#This Row],[Date 
du paiement]]="",Tableau3453[[#This Row],[Montant
de la facture
CHF]],"")</f>
        <v/>
      </c>
      <c r="H202" s="243"/>
      <c r="I202" s="245">
        <v>45373</v>
      </c>
      <c r="J202" s="246">
        <v>45377</v>
      </c>
      <c r="K202" s="247" t="s">
        <v>58</v>
      </c>
      <c r="L202" s="248"/>
      <c r="M202" s="248">
        <f>IF(Tableau3453[[#This Row],[Date 
du paiement]]="",$D$4-Tableau3453[[#This Row],[Date
de la facture]],Tableau3453[[#This Row],[Date 
du paiement]]-Tableau3453[[#This Row],[Date
de la facture]])</f>
        <v>4</v>
      </c>
      <c r="N202" s="241" t="str">
        <f>IF(Tableau3453[[#This Row],[Date 
du paiement]]="",IF(Tableau3453[[#This Row],[Jours]]&lt;30,Tableau3453[[#This Row],[Montant
de la facture
CHF]],""),"")</f>
        <v/>
      </c>
      <c r="O202" s="241" t="str">
        <f>IF(Tableau3453[[#This Row],[Date 
du paiement]]="",IF(Tableau3453[[#This Row],[Jours]]&gt;30,IF(Tableau3453[[#This Row],[Jours]]&lt;60,Tableau3453[[#This Row],[Montant
de la facture
CHF]],""),""),"")</f>
        <v/>
      </c>
      <c r="P202" s="241" t="str">
        <f>IF(Tableau3453[[#This Row],[Date 
du paiement]]="",IF(Tableau3453[[#This Row],[Jours]]&gt;60,Tableau3453[[#This Row],[Montant
de la facture
CHF]],""),"")</f>
        <v/>
      </c>
      <c r="Q202" s="249"/>
      <c r="R202" s="250" t="str">
        <f>Tableau3453[[#This Row],[Solde 
ouverte
fm]]</f>
        <v/>
      </c>
      <c r="S20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3" spans="1:19" hidden="1" outlineLevel="1" x14ac:dyDescent="0.25">
      <c r="A203" s="238">
        <v>10</v>
      </c>
      <c r="B203" s="239" t="s">
        <v>860</v>
      </c>
      <c r="C203" s="352" t="str">
        <f>IF(Tableau3453[[#This Row],[Date 
du paiement]]="",IF(Tableau3453[[#This Row],[Jours]]&gt;Tableau3453[[#This Row],[Conditions
pmt+]]+5,"oui",""),"")</f>
        <v/>
      </c>
      <c r="D203" s="251" t="s">
        <v>885</v>
      </c>
      <c r="E203" s="240">
        <v>45376</v>
      </c>
      <c r="F203" s="241">
        <v>-3081.6</v>
      </c>
      <c r="G203" s="242" t="str">
        <f>IF(Tableau3453[[#This Row],[Date 
du paiement]]="",Tableau3453[[#This Row],[Montant
de la facture
CHF]],"")</f>
        <v/>
      </c>
      <c r="H203" s="243"/>
      <c r="I203" s="245">
        <v>45377</v>
      </c>
      <c r="J203" s="246">
        <v>45454</v>
      </c>
      <c r="K203" s="247" t="s">
        <v>58</v>
      </c>
      <c r="L203" s="248"/>
      <c r="M203" s="248">
        <f>IF(Tableau3453[[#This Row],[Date 
du paiement]]="",$D$4-Tableau3453[[#This Row],[Date
de la facture]],Tableau3453[[#This Row],[Date 
du paiement]]-Tableau3453[[#This Row],[Date
de la facture]])</f>
        <v>78</v>
      </c>
      <c r="N203" s="241" t="str">
        <f>IF(Tableau3453[[#This Row],[Date 
du paiement]]="",IF(Tableau3453[[#This Row],[Jours]]&lt;30,Tableau3453[[#This Row],[Montant
de la facture
CHF]],""),"")</f>
        <v/>
      </c>
      <c r="O203" s="241" t="str">
        <f>IF(Tableau3453[[#This Row],[Date 
du paiement]]="",IF(Tableau3453[[#This Row],[Jours]]&gt;30,IF(Tableau3453[[#This Row],[Jours]]&lt;60,Tableau3453[[#This Row],[Montant
de la facture
CHF]],""),""),"")</f>
        <v/>
      </c>
      <c r="P203" s="241" t="str">
        <f>IF(Tableau3453[[#This Row],[Date 
du paiement]]="",IF(Tableau3453[[#This Row],[Jours]]&gt;60,Tableau3453[[#This Row],[Montant
de la facture
CHF]],""),"")</f>
        <v/>
      </c>
      <c r="Q203" s="249"/>
      <c r="R203" s="250" t="str">
        <f>Tableau3453[[#This Row],[Solde 
ouverte
fm]]</f>
        <v/>
      </c>
      <c r="S20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4" spans="1:19" hidden="1" outlineLevel="1" x14ac:dyDescent="0.25">
      <c r="A204" s="238">
        <v>240283</v>
      </c>
      <c r="B204" s="239" t="s">
        <v>857</v>
      </c>
      <c r="C204" s="352" t="str">
        <f>IF(Tableau3453[[#This Row],[Date 
du paiement]]="",IF(Tableau3453[[#This Row],[Jours]]&gt;Tableau3453[[#This Row],[Conditions
pmt+]]+5,"oui",""),"")</f>
        <v/>
      </c>
      <c r="D204" s="257" t="s">
        <v>962</v>
      </c>
      <c r="E204" s="240">
        <v>45376</v>
      </c>
      <c r="F204" s="241">
        <v>1530.35</v>
      </c>
      <c r="G204" s="242" t="str">
        <f>IF(Tableau3453[[#This Row],[Date 
du paiement]]="",Tableau3453[[#This Row],[Montant
de la facture
CHF]],"")</f>
        <v/>
      </c>
      <c r="H204" s="258"/>
      <c r="I204" s="245">
        <v>45378</v>
      </c>
      <c r="J204" s="246">
        <v>45447</v>
      </c>
      <c r="K204" s="247" t="s">
        <v>58</v>
      </c>
      <c r="L204" s="248">
        <v>1</v>
      </c>
      <c r="M204" s="248">
        <f>IF(Tableau3453[[#This Row],[Date 
du paiement]]="",$D$4-Tableau3453[[#This Row],[Date
de la facture]],Tableau3453[[#This Row],[Date 
du paiement]]-Tableau3453[[#This Row],[Date
de la facture]])</f>
        <v>71</v>
      </c>
      <c r="N204" s="241" t="str">
        <f>IF(Tableau3453[[#This Row],[Date 
du paiement]]="",IF(Tableau3453[[#This Row],[Jours]]&lt;30,Tableau3453[[#This Row],[Montant
de la facture
CHF]],""),"")</f>
        <v/>
      </c>
      <c r="O204" s="241" t="str">
        <f>IF(Tableau3453[[#This Row],[Date 
du paiement]]="",IF(Tableau3453[[#This Row],[Jours]]&gt;30,IF(Tableau3453[[#This Row],[Jours]]&lt;60,Tableau3453[[#This Row],[Montant
de la facture
CHF]],""),""),"")</f>
        <v/>
      </c>
      <c r="P204" s="241" t="str">
        <f>IF(Tableau3453[[#This Row],[Date 
du paiement]]="",IF(Tableau3453[[#This Row],[Jours]]&gt;60,Tableau3453[[#This Row],[Montant
de la facture
CHF]],""),"")</f>
        <v/>
      </c>
      <c r="Q204" s="249"/>
      <c r="R204" s="250" t="str">
        <f>Tableau3453[[#This Row],[Solde 
ouverte
fm]]</f>
        <v/>
      </c>
      <c r="S2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5" spans="1:19" hidden="1" outlineLevel="1" x14ac:dyDescent="0.25">
      <c r="A205" s="238">
        <v>240271</v>
      </c>
      <c r="B205" s="239" t="s">
        <v>860</v>
      </c>
      <c r="C205" s="352" t="str">
        <f>IF(Tableau3453[[#This Row],[Date 
du paiement]]="",IF(Tableau3453[[#This Row],[Jours]]&gt;Tableau3453[[#This Row],[Conditions
pmt+]]+5,"oui",""),"")</f>
        <v/>
      </c>
      <c r="D205" s="238" t="s">
        <v>918</v>
      </c>
      <c r="E205" s="240">
        <v>45376</v>
      </c>
      <c r="F205" s="241">
        <v>1699.05</v>
      </c>
      <c r="G205" s="242" t="str">
        <f>IF(Tableau3453[[#This Row],[Date 
du paiement]]="",Tableau3453[[#This Row],[Montant
de la facture
CHF]],"")</f>
        <v/>
      </c>
      <c r="H205" s="243" t="s">
        <v>886</v>
      </c>
      <c r="I205" s="245">
        <v>45378</v>
      </c>
      <c r="J205" s="246">
        <v>45441</v>
      </c>
      <c r="K205" s="247" t="s">
        <v>58</v>
      </c>
      <c r="L205" s="248">
        <v>2</v>
      </c>
      <c r="M205" s="248">
        <f>IF(Tableau3453[[#This Row],[Date 
du paiement]]="",$D$4-Tableau3453[[#This Row],[Date
de la facture]],Tableau3453[[#This Row],[Date 
du paiement]]-Tableau3453[[#This Row],[Date
de la facture]])</f>
        <v>65</v>
      </c>
      <c r="N205" s="241" t="str">
        <f>IF(Tableau3453[[#This Row],[Date 
du paiement]]="",IF(Tableau3453[[#This Row],[Jours]]&lt;30,Tableau3453[[#This Row],[Montant
de la facture
CHF]],""),"")</f>
        <v/>
      </c>
      <c r="O205" s="241" t="str">
        <f>IF(Tableau3453[[#This Row],[Date 
du paiement]]="",IF(Tableau3453[[#This Row],[Jours]]&gt;30,IF(Tableau3453[[#This Row],[Jours]]&lt;60,Tableau3453[[#This Row],[Montant
de la facture
CHF]],""),""),"")</f>
        <v/>
      </c>
      <c r="P205" s="241" t="str">
        <f>IF(Tableau3453[[#This Row],[Date 
du paiement]]="",IF(Tableau3453[[#This Row],[Jours]]&gt;60,Tableau3453[[#This Row],[Montant
de la facture
CHF]],""),"")</f>
        <v/>
      </c>
      <c r="Q205" s="249"/>
      <c r="R205" s="250" t="str">
        <f>Tableau3453[[#This Row],[Solde 
ouverte
fm]]</f>
        <v/>
      </c>
      <c r="S20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6" spans="1:19" hidden="1" outlineLevel="1" x14ac:dyDescent="0.25">
      <c r="A206" s="238">
        <v>230462</v>
      </c>
      <c r="B206" s="239" t="s">
        <v>860</v>
      </c>
      <c r="C206" s="352" t="str">
        <f>IF(Tableau3453[[#This Row],[Date 
du paiement]]="",IF(Tableau3453[[#This Row],[Jours]]&gt;Tableau3453[[#This Row],[Conditions
pmt+]]+5,"oui",""),"")</f>
        <v/>
      </c>
      <c r="D206" s="238" t="s">
        <v>887</v>
      </c>
      <c r="E206" s="240">
        <v>45376</v>
      </c>
      <c r="F206" s="241">
        <v>4100.3500000000004</v>
      </c>
      <c r="G206" s="242" t="str">
        <f>IF(Tableau3453[[#This Row],[Date 
du paiement]]="",Tableau3453[[#This Row],[Montant
de la facture
CHF]],"")</f>
        <v/>
      </c>
      <c r="H206" s="243" t="s">
        <v>972</v>
      </c>
      <c r="I206" s="245">
        <v>45387</v>
      </c>
      <c r="J206" s="246">
        <v>45426</v>
      </c>
      <c r="K206" s="247" t="s">
        <v>58</v>
      </c>
      <c r="L206" s="248">
        <v>2</v>
      </c>
      <c r="M206" s="248">
        <f>IF(Tableau3453[[#This Row],[Date 
du paiement]]="",$D$4-Tableau3453[[#This Row],[Date
de la facture]],Tableau3453[[#This Row],[Date 
du paiement]]-Tableau3453[[#This Row],[Date
de la facture]])</f>
        <v>50</v>
      </c>
      <c r="N206" s="241" t="str">
        <f>IF(Tableau3453[[#This Row],[Date 
du paiement]]="",IF(Tableau3453[[#This Row],[Jours]]&lt;30,Tableau3453[[#This Row],[Montant
de la facture
CHF]],""),"")</f>
        <v/>
      </c>
      <c r="O206" s="241" t="str">
        <f>IF(Tableau3453[[#This Row],[Date 
du paiement]]="",IF(Tableau3453[[#This Row],[Jours]]&gt;30,IF(Tableau3453[[#This Row],[Jours]]&lt;60,Tableau3453[[#This Row],[Montant
de la facture
CHF]],""),""),"")</f>
        <v/>
      </c>
      <c r="P206" s="241" t="str">
        <f>IF(Tableau3453[[#This Row],[Date 
du paiement]]="",IF(Tableau3453[[#This Row],[Jours]]&gt;60,Tableau3453[[#This Row],[Montant
de la facture
CHF]],""),"")</f>
        <v/>
      </c>
      <c r="Q206" s="249"/>
      <c r="R206" s="250" t="str">
        <f>Tableau3453[[#This Row],[Solde 
ouverte
fm]]</f>
        <v/>
      </c>
      <c r="S20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7" spans="1:19" hidden="1" outlineLevel="1" x14ac:dyDescent="0.25">
      <c r="A207" s="238">
        <v>240233</v>
      </c>
      <c r="B207" s="239" t="s">
        <v>860</v>
      </c>
      <c r="C207" s="352" t="str">
        <f>IF(Tableau3453[[#This Row],[Date 
du paiement]]="",IF(Tableau3453[[#This Row],[Jours]]&gt;Tableau3453[[#This Row],[Conditions
pmt+]]+5,"oui",""),"")</f>
        <v/>
      </c>
      <c r="D207" s="238" t="s">
        <v>973</v>
      </c>
      <c r="E207" s="240">
        <v>45376</v>
      </c>
      <c r="F207" s="241">
        <f>2807.85</f>
        <v>2807.85</v>
      </c>
      <c r="G207" s="242" t="str">
        <f>IF(Tableau3453[[#This Row],[Date 
du paiement]]="",Tableau3453[[#This Row],[Montant
de la facture
CHF]],"")</f>
        <v/>
      </c>
      <c r="H207" s="243" t="s">
        <v>974</v>
      </c>
      <c r="I207" s="245">
        <v>45378</v>
      </c>
      <c r="J207" s="246">
        <v>45408</v>
      </c>
      <c r="K207" s="247" t="s">
        <v>58</v>
      </c>
      <c r="L207" s="248"/>
      <c r="M207" s="248">
        <f>IF(Tableau3453[[#This Row],[Date 
du paiement]]="",$D$4-Tableau3453[[#This Row],[Date
de la facture]],Tableau3453[[#This Row],[Date 
du paiement]]-Tableau3453[[#This Row],[Date
de la facture]])</f>
        <v>32</v>
      </c>
      <c r="N207" s="241" t="str">
        <f>IF(Tableau3453[[#This Row],[Date 
du paiement]]="",IF(Tableau3453[[#This Row],[Jours]]&lt;30,Tableau3453[[#This Row],[Montant
de la facture
CHF]],""),"")</f>
        <v/>
      </c>
      <c r="O207" s="241" t="str">
        <f>IF(Tableau3453[[#This Row],[Date 
du paiement]]="",IF(Tableau3453[[#This Row],[Jours]]&gt;30,IF(Tableau3453[[#This Row],[Jours]]&lt;60,Tableau3453[[#This Row],[Montant
de la facture
CHF]],""),""),"")</f>
        <v/>
      </c>
      <c r="P207" s="241" t="str">
        <f>IF(Tableau3453[[#This Row],[Date 
du paiement]]="",IF(Tableau3453[[#This Row],[Jours]]&gt;60,Tableau3453[[#This Row],[Montant
de la facture
CHF]],""),"")</f>
        <v/>
      </c>
      <c r="Q207" s="249"/>
      <c r="R207" s="250" t="str">
        <f>Tableau3453[[#This Row],[Solde 
ouverte
fm]]</f>
        <v/>
      </c>
      <c r="S20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8" spans="1:19" hidden="1" outlineLevel="1" x14ac:dyDescent="0.25">
      <c r="A208" s="238">
        <v>240272</v>
      </c>
      <c r="B208" s="239" t="s">
        <v>860</v>
      </c>
      <c r="C208" s="352" t="str">
        <f>IF(Tableau3453[[#This Row],[Date 
du paiement]]="",IF(Tableau3453[[#This Row],[Jours]]&gt;Tableau3453[[#This Row],[Conditions
pmt+]]+5,"oui",""),"")</f>
        <v/>
      </c>
      <c r="D208" s="238" t="s">
        <v>880</v>
      </c>
      <c r="E208" s="240">
        <v>45376</v>
      </c>
      <c r="F208" s="241">
        <v>1435.85</v>
      </c>
      <c r="G208" s="242" t="str">
        <f>IF(Tableau3453[[#This Row],[Date 
du paiement]]="",Tableau3453[[#This Row],[Montant
de la facture
CHF]],"")</f>
        <v/>
      </c>
      <c r="H208" s="243"/>
      <c r="I208" s="245">
        <v>45378</v>
      </c>
      <c r="J208" s="246">
        <v>45401</v>
      </c>
      <c r="K208" s="247" t="s">
        <v>58</v>
      </c>
      <c r="L208" s="248"/>
      <c r="M208" s="248">
        <f>IF(Tableau3453[[#This Row],[Date 
du paiement]]="",$D$4-Tableau3453[[#This Row],[Date
de la facture]],Tableau3453[[#This Row],[Date 
du paiement]]-Tableau3453[[#This Row],[Date
de la facture]])</f>
        <v>25</v>
      </c>
      <c r="N208" s="241" t="str">
        <f>IF(Tableau3453[[#This Row],[Date 
du paiement]]="",IF(Tableau3453[[#This Row],[Jours]]&lt;30,Tableau3453[[#This Row],[Montant
de la facture
CHF]],""),"")</f>
        <v/>
      </c>
      <c r="O208" s="241" t="str">
        <f>IF(Tableau3453[[#This Row],[Date 
du paiement]]="",IF(Tableau3453[[#This Row],[Jours]]&gt;30,IF(Tableau3453[[#This Row],[Jours]]&lt;60,Tableau3453[[#This Row],[Montant
de la facture
CHF]],""),""),"")</f>
        <v/>
      </c>
      <c r="P208" s="241" t="str">
        <f>IF(Tableau3453[[#This Row],[Date 
du paiement]]="",IF(Tableau3453[[#This Row],[Jours]]&gt;60,Tableau3453[[#This Row],[Montant
de la facture
CHF]],""),"")</f>
        <v/>
      </c>
      <c r="Q208" s="249"/>
      <c r="R208" s="250" t="str">
        <f>Tableau3453[[#This Row],[Solde 
ouverte
fm]]</f>
        <v/>
      </c>
      <c r="S20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09" spans="1:19" hidden="1" outlineLevel="1" x14ac:dyDescent="0.25">
      <c r="A209" s="268">
        <v>240506</v>
      </c>
      <c r="B209" s="239" t="s">
        <v>860</v>
      </c>
      <c r="C209" s="352" t="str">
        <f>IF(Tableau3453[[#This Row],[Date 
du paiement]]="",IF(Tableau3453[[#This Row],[Jours]]&gt;Tableau3453[[#This Row],[Conditions
pmt+]]+5,"oui",""),"")</f>
        <v/>
      </c>
      <c r="D209" s="262" t="s">
        <v>1021</v>
      </c>
      <c r="E209" s="240">
        <v>45482</v>
      </c>
      <c r="F209" s="263">
        <v>2999.75</v>
      </c>
      <c r="G209" s="242" t="str">
        <f>IF(Tableau3453[[#This Row],[Date 
du paiement]]="",Tableau3453[[#This Row],[Montant
de la facture
CHF]],"")</f>
        <v/>
      </c>
      <c r="H209" s="243"/>
      <c r="I209" s="245">
        <v>45483</v>
      </c>
      <c r="J209" s="246">
        <v>45499</v>
      </c>
      <c r="K209" s="247" t="s">
        <v>58</v>
      </c>
      <c r="L209" s="264"/>
      <c r="M209" s="265">
        <f>IF(Tableau3453[[#This Row],[Date 
du paiement]]="",$D$4-Tableau3453[[#This Row],[Date
de la facture]],Tableau3453[[#This Row],[Date 
du paiement]]-Tableau3453[[#This Row],[Date
de la facture]])</f>
        <v>17</v>
      </c>
      <c r="N209" s="263" t="str">
        <f>IF(Tableau3453[[#This Row],[Date 
du paiement]]="",IF(Tableau3453[[#This Row],[Jours]]&lt;30,Tableau3453[[#This Row],[Montant
de la facture
CHF]],""),"")</f>
        <v/>
      </c>
      <c r="O209" s="263" t="str">
        <f>IF(Tableau3453[[#This Row],[Date 
du paiement]]="",IF(Tableau3453[[#This Row],[Jours]]&gt;30,IF(Tableau3453[[#This Row],[Jours]]&lt;60,Tableau3453[[#This Row],[Montant
de la facture
CHF]],""),""),"")</f>
        <v/>
      </c>
      <c r="P209" s="263" t="str">
        <f>IF(Tableau3453[[#This Row],[Date 
du paiement]]="",IF(Tableau3453[[#This Row],[Jours]]&gt;60,Tableau3453[[#This Row],[Montant
de la facture
CHF]],""),"")</f>
        <v/>
      </c>
      <c r="Q209" s="266"/>
      <c r="R209" s="267" t="str">
        <f>Tableau3453[[#This Row],[Solde 
ouverte
fm]]</f>
        <v/>
      </c>
      <c r="S20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0" spans="1:19" hidden="1" outlineLevel="1" x14ac:dyDescent="0.25">
      <c r="A210" s="238">
        <v>240295</v>
      </c>
      <c r="B210" s="239" t="s">
        <v>860</v>
      </c>
      <c r="C210" s="352" t="str">
        <f>IF(Tableau3453[[#This Row],[Date 
du paiement]]="",IF(Tableau3453[[#This Row],[Jours]]&gt;Tableau3453[[#This Row],[Conditions
pmt+]]+5,"oui",""),"")</f>
        <v/>
      </c>
      <c r="D210" s="238" t="s">
        <v>887</v>
      </c>
      <c r="E210" s="240">
        <v>45376</v>
      </c>
      <c r="F210" s="241">
        <v>0</v>
      </c>
      <c r="G210" s="242" t="str">
        <f>IF(Tableau3453[[#This Row],[Date 
du paiement]]="",Tableau3453[[#This Row],[Montant
de la facture
CHF]],"")</f>
        <v/>
      </c>
      <c r="H210" s="243"/>
      <c r="I210" s="245" t="s">
        <v>883</v>
      </c>
      <c r="J210" s="246">
        <v>45376</v>
      </c>
      <c r="K210" s="247" t="s">
        <v>884</v>
      </c>
      <c r="L210" s="248"/>
      <c r="M210" s="248">
        <f>IF(Tableau3453[[#This Row],[Date 
du paiement]]="",$D$4-Tableau3453[[#This Row],[Date
de la facture]],Tableau3453[[#This Row],[Date 
du paiement]]-Tableau3453[[#This Row],[Date
de la facture]])</f>
        <v>0</v>
      </c>
      <c r="N210" s="241" t="str">
        <f>IF(Tableau3453[[#This Row],[Date 
du paiement]]="",IF(Tableau3453[[#This Row],[Jours]]&lt;30,Tableau3453[[#This Row],[Montant
de la facture
CHF]],""),"")</f>
        <v/>
      </c>
      <c r="O210" s="241" t="str">
        <f>IF(Tableau3453[[#This Row],[Date 
du paiement]]="",IF(Tableau3453[[#This Row],[Jours]]&gt;30,IF(Tableau3453[[#This Row],[Jours]]&lt;60,Tableau3453[[#This Row],[Montant
de la facture
CHF]],""),""),"")</f>
        <v/>
      </c>
      <c r="P210" s="241" t="str">
        <f>IF(Tableau3453[[#This Row],[Date 
du paiement]]="",IF(Tableau3453[[#This Row],[Jours]]&gt;60,Tableau3453[[#This Row],[Montant
de la facture
CHF]],""),"")</f>
        <v/>
      </c>
      <c r="Q210" s="249"/>
      <c r="R210" s="267" t="str">
        <f>Tableau3453[[#This Row],[Solde 
ouverte
fm]]</f>
        <v/>
      </c>
      <c r="S2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1" spans="1:19" hidden="1" outlineLevel="1" x14ac:dyDescent="0.25">
      <c r="A211" s="238">
        <v>240587</v>
      </c>
      <c r="B211" s="239">
        <v>30</v>
      </c>
      <c r="C211" s="352" t="str">
        <f>IF(Tableau3453[[#This Row],[Date 
du paiement]]="",IF(Tableau3453[[#This Row],[Jours]]&gt;Tableau3453[[#This Row],[Conditions
pmt+]]+5,"oui",""),"")</f>
        <v/>
      </c>
      <c r="D211" s="251" t="s">
        <v>869</v>
      </c>
      <c r="E211" s="240">
        <v>45461</v>
      </c>
      <c r="F211" s="241">
        <v>3438.75</v>
      </c>
      <c r="G211" s="242" t="str">
        <f>IF(Tableau3453[[#This Row],[Date 
du paiement]]="",Tableau3453[[#This Row],[Montant
de la facture
CHF]],"")</f>
        <v/>
      </c>
      <c r="H211" s="243"/>
      <c r="I211" s="245">
        <v>45463</v>
      </c>
      <c r="J211" s="246">
        <v>45502</v>
      </c>
      <c r="K211" s="247" t="s">
        <v>58</v>
      </c>
      <c r="L211" s="248"/>
      <c r="M211" s="248">
        <f>IF(Tableau3453[[#This Row],[Date 
du paiement]]="",$D$4-Tableau3453[[#This Row],[Date
de la facture]],Tableau3453[[#This Row],[Date 
du paiement]]-Tableau3453[[#This Row],[Date
de la facture]])</f>
        <v>41</v>
      </c>
      <c r="N211" s="241" t="str">
        <f>IF(Tableau3453[[#This Row],[Date 
du paiement]]="",IF(Tableau3453[[#This Row],[Jours]]&lt;30,Tableau3453[[#This Row],[Montant
de la facture
CHF]],""),"")</f>
        <v/>
      </c>
      <c r="O211" s="241" t="str">
        <f>IF(Tableau3453[[#This Row],[Date 
du paiement]]="",IF(Tableau3453[[#This Row],[Jours]]&gt;30,IF(Tableau3453[[#This Row],[Jours]]&lt;60,Tableau3453[[#This Row],[Montant
de la facture
CHF]],""),""),"")</f>
        <v/>
      </c>
      <c r="P211" s="241" t="str">
        <f>IF(Tableau3453[[#This Row],[Date 
du paiement]]="",IF(Tableau3453[[#This Row],[Jours]]&gt;60,Tableau3453[[#This Row],[Montant
de la facture
CHF]],""),"")</f>
        <v/>
      </c>
      <c r="Q211" s="249"/>
      <c r="R211" s="250" t="str">
        <f>Tableau3453[[#This Row],[Solde 
ouverte
fm]]</f>
        <v/>
      </c>
      <c r="S2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2" spans="1:19" hidden="1" outlineLevel="1" x14ac:dyDescent="0.25">
      <c r="A212" s="238">
        <v>240286</v>
      </c>
      <c r="B212" s="239" t="s">
        <v>860</v>
      </c>
      <c r="C212" s="352" t="str">
        <f>IF(Tableau3453[[#This Row],[Date 
du paiement]]="",IF(Tableau3453[[#This Row],[Jours]]&gt;Tableau3453[[#This Row],[Conditions
pmt+]]+5,"oui",""),"")</f>
        <v/>
      </c>
      <c r="D212" s="238" t="s">
        <v>900</v>
      </c>
      <c r="E212" s="240">
        <v>45377</v>
      </c>
      <c r="F212" s="241">
        <v>1313.4</v>
      </c>
      <c r="G212" s="242" t="str">
        <f>IF(Tableau3453[[#This Row],[Date 
du paiement]]="",Tableau3453[[#This Row],[Montant
de la facture
CHF]],"")</f>
        <v/>
      </c>
      <c r="H212" s="243"/>
      <c r="I212" s="245">
        <v>45378</v>
      </c>
      <c r="J212" s="246">
        <v>45415</v>
      </c>
      <c r="K212" s="247" t="s">
        <v>58</v>
      </c>
      <c r="L212" s="248">
        <v>1</v>
      </c>
      <c r="M212" s="248">
        <f>IF(Tableau3453[[#This Row],[Date 
du paiement]]="",$D$4-Tableau3453[[#This Row],[Date
de la facture]],Tableau3453[[#This Row],[Date 
du paiement]]-Tableau3453[[#This Row],[Date
de la facture]])</f>
        <v>38</v>
      </c>
      <c r="N212" s="241" t="str">
        <f>IF(Tableau3453[[#This Row],[Date 
du paiement]]="",IF(Tableau3453[[#This Row],[Jours]]&lt;30,Tableau3453[[#This Row],[Montant
de la facture
CHF]],""),"")</f>
        <v/>
      </c>
      <c r="O212" s="241" t="str">
        <f>IF(Tableau3453[[#This Row],[Date 
du paiement]]="",IF(Tableau3453[[#This Row],[Jours]]&gt;30,IF(Tableau3453[[#This Row],[Jours]]&lt;60,Tableau3453[[#This Row],[Montant
de la facture
CHF]],""),""),"")</f>
        <v/>
      </c>
      <c r="P212" s="241" t="str">
        <f>IF(Tableau3453[[#This Row],[Date 
du paiement]]="",IF(Tableau3453[[#This Row],[Jours]]&gt;60,Tableau3453[[#This Row],[Montant
de la facture
CHF]],""),"")</f>
        <v/>
      </c>
      <c r="Q212" s="249"/>
      <c r="R212" s="250" t="str">
        <f>Tableau3453[[#This Row],[Solde 
ouverte
fm]]</f>
        <v/>
      </c>
      <c r="S21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3" spans="1:19" hidden="1" outlineLevel="1" x14ac:dyDescent="0.25">
      <c r="A213" s="238">
        <v>240280</v>
      </c>
      <c r="B213" s="239" t="s">
        <v>860</v>
      </c>
      <c r="C213" s="352" t="str">
        <f>IF(Tableau3453[[#This Row],[Date 
du paiement]]="",IF(Tableau3453[[#This Row],[Jours]]&gt;Tableau3453[[#This Row],[Conditions
pmt+]]+5,"oui",""),"")</f>
        <v/>
      </c>
      <c r="D213" s="238" t="s">
        <v>900</v>
      </c>
      <c r="E213" s="240">
        <v>45377</v>
      </c>
      <c r="F213" s="241">
        <v>2577.4499999999998</v>
      </c>
      <c r="G213" s="242" t="str">
        <f>IF(Tableau3453[[#This Row],[Date 
du paiement]]="",Tableau3453[[#This Row],[Montant
de la facture
CHF]],"")</f>
        <v/>
      </c>
      <c r="H213" s="243"/>
      <c r="I213" s="245">
        <v>45378</v>
      </c>
      <c r="J213" s="246">
        <v>45415</v>
      </c>
      <c r="K213" s="247" t="s">
        <v>58</v>
      </c>
      <c r="L213" s="248">
        <v>1</v>
      </c>
      <c r="M213" s="248">
        <f>IF(Tableau3453[[#This Row],[Date 
du paiement]]="",$D$4-Tableau3453[[#This Row],[Date
de la facture]],Tableau3453[[#This Row],[Date 
du paiement]]-Tableau3453[[#This Row],[Date
de la facture]])</f>
        <v>38</v>
      </c>
      <c r="N213" s="241" t="str">
        <f>IF(Tableau3453[[#This Row],[Date 
du paiement]]="",IF(Tableau3453[[#This Row],[Jours]]&lt;30,Tableau3453[[#This Row],[Montant
de la facture
CHF]],""),"")</f>
        <v/>
      </c>
      <c r="O213" s="241" t="str">
        <f>IF(Tableau3453[[#This Row],[Date 
du paiement]]="",IF(Tableau3453[[#This Row],[Jours]]&gt;30,IF(Tableau3453[[#This Row],[Jours]]&lt;60,Tableau3453[[#This Row],[Montant
de la facture
CHF]],""),""),"")</f>
        <v/>
      </c>
      <c r="P213" s="241" t="str">
        <f>IF(Tableau3453[[#This Row],[Date 
du paiement]]="",IF(Tableau3453[[#This Row],[Jours]]&gt;60,Tableau3453[[#This Row],[Montant
de la facture
CHF]],""),"")</f>
        <v/>
      </c>
      <c r="Q213" s="249"/>
      <c r="R213" s="250" t="str">
        <f>Tableau3453[[#This Row],[Solde 
ouverte
fm]]</f>
        <v/>
      </c>
      <c r="S2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4" spans="1:19" hidden="1" outlineLevel="1" x14ac:dyDescent="0.25">
      <c r="A214" s="238">
        <v>230784</v>
      </c>
      <c r="B214" s="239" t="s">
        <v>860</v>
      </c>
      <c r="C214" s="352" t="str">
        <f>IF(Tableau3453[[#This Row],[Date 
du paiement]]="",IF(Tableau3453[[#This Row],[Jours]]&gt;Tableau3453[[#This Row],[Conditions
pmt+]]+5,"oui",""),"")</f>
        <v/>
      </c>
      <c r="D214" s="238" t="s">
        <v>931</v>
      </c>
      <c r="E214" s="240">
        <v>45377</v>
      </c>
      <c r="F214" s="241">
        <v>573.9</v>
      </c>
      <c r="G214" s="242" t="str">
        <f>IF(Tableau3453[[#This Row],[Date 
du paiement]]="",Tableau3453[[#This Row],[Montant
de la facture
CHF]],"")</f>
        <v/>
      </c>
      <c r="H214" s="243"/>
      <c r="I214" s="245">
        <v>45385</v>
      </c>
      <c r="J214" s="246">
        <v>45414</v>
      </c>
      <c r="K214" s="247" t="s">
        <v>58</v>
      </c>
      <c r="L214" s="248">
        <v>1</v>
      </c>
      <c r="M214" s="248">
        <f>IF(Tableau3453[[#This Row],[Date 
du paiement]]="",$D$4-Tableau3453[[#This Row],[Date
de la facture]],Tableau3453[[#This Row],[Date 
du paiement]]-Tableau3453[[#This Row],[Date
de la facture]])</f>
        <v>37</v>
      </c>
      <c r="N214" s="241" t="str">
        <f>IF(Tableau3453[[#This Row],[Date 
du paiement]]="",IF(Tableau3453[[#This Row],[Jours]]&lt;30,Tableau3453[[#This Row],[Montant
de la facture
CHF]],""),"")</f>
        <v/>
      </c>
      <c r="O214" s="241" t="str">
        <f>IF(Tableau3453[[#This Row],[Date 
du paiement]]="",IF(Tableau3453[[#This Row],[Jours]]&gt;30,IF(Tableau3453[[#This Row],[Jours]]&lt;60,Tableau3453[[#This Row],[Montant
de la facture
CHF]],""),""),"")</f>
        <v/>
      </c>
      <c r="P214" s="241" t="str">
        <f>IF(Tableau3453[[#This Row],[Date 
du paiement]]="",IF(Tableau3453[[#This Row],[Jours]]&gt;60,Tableau3453[[#This Row],[Montant
de la facture
CHF]],""),"")</f>
        <v/>
      </c>
      <c r="Q214" s="249"/>
      <c r="R214" s="250" t="str">
        <f>Tableau3453[[#This Row],[Solde 
ouverte
fm]]</f>
        <v/>
      </c>
      <c r="S21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5" spans="1:19" hidden="1" outlineLevel="1" x14ac:dyDescent="0.25">
      <c r="A215" s="238">
        <v>240299</v>
      </c>
      <c r="B215" s="239" t="s">
        <v>860</v>
      </c>
      <c r="C215" s="352" t="str">
        <f>IF(Tableau3453[[#This Row],[Date 
du paiement]]="",IF(Tableau3453[[#This Row],[Jours]]&gt;Tableau3453[[#This Row],[Conditions
pmt+]]+5,"oui",""),"")</f>
        <v/>
      </c>
      <c r="D215" s="238" t="s">
        <v>1035</v>
      </c>
      <c r="E215" s="240">
        <v>45378</v>
      </c>
      <c r="F215" s="241">
        <v>1179.45</v>
      </c>
      <c r="G215" s="242" t="str">
        <f>IF(Tableau3453[[#This Row],[Date 
du paiement]]="",Tableau3453[[#This Row],[Montant
de la facture
CHF]],"")</f>
        <v/>
      </c>
      <c r="H215" s="243"/>
      <c r="I215" s="245">
        <v>45385</v>
      </c>
      <c r="J215" s="246">
        <v>45467</v>
      </c>
      <c r="K215" s="247" t="s">
        <v>58</v>
      </c>
      <c r="L215" s="248">
        <v>4</v>
      </c>
      <c r="M215" s="248">
        <f>IF(Tableau3453[[#This Row],[Date 
du paiement]]="",$D$4-Tableau3453[[#This Row],[Date
de la facture]],Tableau3453[[#This Row],[Date 
du paiement]]-Tableau3453[[#This Row],[Date
de la facture]])</f>
        <v>89</v>
      </c>
      <c r="N215" s="241" t="str">
        <f>IF(Tableau3453[[#This Row],[Date 
du paiement]]="",IF(Tableau3453[[#This Row],[Jours]]&lt;30,Tableau3453[[#This Row],[Montant
de la facture
CHF]],""),"")</f>
        <v/>
      </c>
      <c r="O215" s="241" t="str">
        <f>IF(Tableau3453[[#This Row],[Date 
du paiement]]="",IF(Tableau3453[[#This Row],[Jours]]&gt;30,IF(Tableau3453[[#This Row],[Jours]]&lt;60,Tableau3453[[#This Row],[Montant
de la facture
CHF]],""),""),"")</f>
        <v/>
      </c>
      <c r="P215" s="241" t="str">
        <f>IF(Tableau3453[[#This Row],[Date 
du paiement]]="",IF(Tableau3453[[#This Row],[Jours]]&gt;60,Tableau3453[[#This Row],[Montant
de la facture
CHF]],""),"")</f>
        <v/>
      </c>
      <c r="Q215" s="249" t="s">
        <v>1036</v>
      </c>
      <c r="R215" s="250" t="str">
        <f>Tableau3453[[#This Row],[Solde 
ouverte
fm]]</f>
        <v/>
      </c>
      <c r="S21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6" spans="1:19" hidden="1" outlineLevel="1" x14ac:dyDescent="0.25">
      <c r="A216" s="238">
        <v>240296</v>
      </c>
      <c r="B216" s="239" t="s">
        <v>857</v>
      </c>
      <c r="C216" s="352" t="str">
        <f>IF(Tableau3453[[#This Row],[Date 
du paiement]]="",IF(Tableau3453[[#This Row],[Jours]]&gt;Tableau3453[[#This Row],[Conditions
pmt+]]+5,"oui",""),"")</f>
        <v/>
      </c>
      <c r="D216" s="238" t="s">
        <v>858</v>
      </c>
      <c r="E216" s="240">
        <v>45378</v>
      </c>
      <c r="F216" s="241">
        <v>526.65</v>
      </c>
      <c r="G216" s="242" t="str">
        <f>IF(Tableau3453[[#This Row],[Date 
du paiement]]="",Tableau3453[[#This Row],[Montant
de la facture
CHF]],"")</f>
        <v/>
      </c>
      <c r="H216" s="243" t="s">
        <v>953</v>
      </c>
      <c r="I216" s="245">
        <v>45385</v>
      </c>
      <c r="J216" s="246">
        <v>45455</v>
      </c>
      <c r="K216" s="247" t="s">
        <v>58</v>
      </c>
      <c r="L216" s="248">
        <v>3</v>
      </c>
      <c r="M216" s="248">
        <f>IF(Tableau3453[[#This Row],[Date 
du paiement]]="",$D$4-Tableau3453[[#This Row],[Date
de la facture]],Tableau3453[[#This Row],[Date 
du paiement]]-Tableau3453[[#This Row],[Date
de la facture]])</f>
        <v>77</v>
      </c>
      <c r="N216" s="241" t="str">
        <f>IF(Tableau3453[[#This Row],[Date 
du paiement]]="",IF(Tableau3453[[#This Row],[Jours]]&lt;30,Tableau3453[[#This Row],[Montant
de la facture
CHF]],""),"")</f>
        <v/>
      </c>
      <c r="O216" s="241" t="str">
        <f>IF(Tableau3453[[#This Row],[Date 
du paiement]]="",IF(Tableau3453[[#This Row],[Jours]]&gt;30,IF(Tableau3453[[#This Row],[Jours]]&lt;60,Tableau3453[[#This Row],[Montant
de la facture
CHF]],""),""),"")</f>
        <v/>
      </c>
      <c r="P216" s="241" t="str">
        <f>IF(Tableau3453[[#This Row],[Date 
du paiement]]="",IF(Tableau3453[[#This Row],[Jours]]&gt;60,Tableau3453[[#This Row],[Montant
de la facture
CHF]],""),"")</f>
        <v/>
      </c>
      <c r="Q216" s="249" t="s">
        <v>978</v>
      </c>
      <c r="R216" s="250" t="str">
        <f>Tableau3453[[#This Row],[Solde 
ouverte
fm]]</f>
        <v/>
      </c>
      <c r="S21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7" spans="1:19" hidden="1" outlineLevel="1" x14ac:dyDescent="0.25">
      <c r="A217" s="238">
        <v>240113</v>
      </c>
      <c r="B217" s="239" t="s">
        <v>860</v>
      </c>
      <c r="C217" s="352" t="str">
        <f>IF(Tableau3453[[#This Row],[Date 
du paiement]]="",IF(Tableau3453[[#This Row],[Jours]]&gt;Tableau3453[[#This Row],[Conditions
pmt+]]+5,"oui",""),"")</f>
        <v/>
      </c>
      <c r="D217" s="238" t="s">
        <v>977</v>
      </c>
      <c r="E217" s="240">
        <v>45378</v>
      </c>
      <c r="F217" s="241">
        <v>3650.8</v>
      </c>
      <c r="G217" s="242" t="str">
        <f>IF(Tableau3453[[#This Row],[Date 
du paiement]]="",Tableau3453[[#This Row],[Montant
de la facture
CHF]],"")</f>
        <v/>
      </c>
      <c r="H217" s="243" t="s">
        <v>886</v>
      </c>
      <c r="I217" s="245">
        <v>45385</v>
      </c>
      <c r="J217" s="246">
        <v>45442</v>
      </c>
      <c r="K217" s="247" t="s">
        <v>58</v>
      </c>
      <c r="L217" s="248">
        <v>1</v>
      </c>
      <c r="M217" s="248">
        <f>IF(Tableau3453[[#This Row],[Date 
du paiement]]="",$D$4-Tableau3453[[#This Row],[Date
de la facture]],Tableau3453[[#This Row],[Date 
du paiement]]-Tableau3453[[#This Row],[Date
de la facture]])</f>
        <v>64</v>
      </c>
      <c r="N217" s="241" t="str">
        <f>IF(Tableau3453[[#This Row],[Date 
du paiement]]="",IF(Tableau3453[[#This Row],[Jours]]&lt;30,Tableau3453[[#This Row],[Montant
de la facture
CHF]],""),"")</f>
        <v/>
      </c>
      <c r="O217" s="241" t="str">
        <f>IF(Tableau3453[[#This Row],[Date 
du paiement]]="",IF(Tableau3453[[#This Row],[Jours]]&gt;30,IF(Tableau3453[[#This Row],[Jours]]&lt;60,Tableau3453[[#This Row],[Montant
de la facture
CHF]],""),""),"")</f>
        <v/>
      </c>
      <c r="P217" s="241" t="str">
        <f>IF(Tableau3453[[#This Row],[Date 
du paiement]]="",IF(Tableau3453[[#This Row],[Jours]]&gt;60,Tableau3453[[#This Row],[Montant
de la facture
CHF]],""),"")</f>
        <v/>
      </c>
      <c r="Q217" s="249"/>
      <c r="R217" s="250" t="str">
        <f>Tableau3453[[#This Row],[Solde 
ouverte
fm]]</f>
        <v/>
      </c>
      <c r="S21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8" spans="1:19" hidden="1" outlineLevel="1" x14ac:dyDescent="0.25">
      <c r="A218" s="238">
        <v>240293</v>
      </c>
      <c r="B218" s="239" t="s">
        <v>860</v>
      </c>
      <c r="C218" s="352" t="str">
        <f>IF(Tableau3453[[#This Row],[Date 
du paiement]]="",IF(Tableau3453[[#This Row],[Jours]]&gt;Tableau3453[[#This Row],[Conditions
pmt+]]+5,"oui",""),"")</f>
        <v/>
      </c>
      <c r="D218" s="238" t="s">
        <v>979</v>
      </c>
      <c r="E218" s="240">
        <v>45379</v>
      </c>
      <c r="F218" s="241">
        <v>797.55</v>
      </c>
      <c r="G218" s="242" t="str">
        <f>IF(Tableau3453[[#This Row],[Date 
du paiement]]="",Tableau3453[[#This Row],[Montant
de la facture
CHF]],"")</f>
        <v/>
      </c>
      <c r="H218" s="243"/>
      <c r="I218" s="245">
        <v>45385</v>
      </c>
      <c r="J218" s="246">
        <v>45412</v>
      </c>
      <c r="K218" s="247" t="s">
        <v>58</v>
      </c>
      <c r="L218" s="248"/>
      <c r="M218" s="248">
        <f>IF(Tableau3453[[#This Row],[Date 
du paiement]]="",$D$4-Tableau3453[[#This Row],[Date
de la facture]],Tableau3453[[#This Row],[Date 
du paiement]]-Tableau3453[[#This Row],[Date
de la facture]])</f>
        <v>33</v>
      </c>
      <c r="N218" s="241" t="str">
        <f>IF(Tableau3453[[#This Row],[Date 
du paiement]]="",IF(Tableau3453[[#This Row],[Jours]]&lt;30,Tableau3453[[#This Row],[Montant
de la facture
CHF]],""),"")</f>
        <v/>
      </c>
      <c r="O218" s="241" t="str">
        <f>IF(Tableau3453[[#This Row],[Date 
du paiement]]="",IF(Tableau3453[[#This Row],[Jours]]&gt;30,IF(Tableau3453[[#This Row],[Jours]]&lt;60,Tableau3453[[#This Row],[Montant
de la facture
CHF]],""),""),"")</f>
        <v/>
      </c>
      <c r="P218" s="241" t="str">
        <f>IF(Tableau3453[[#This Row],[Date 
du paiement]]="",IF(Tableau3453[[#This Row],[Jours]]&gt;60,Tableau3453[[#This Row],[Montant
de la facture
CHF]],""),"")</f>
        <v/>
      </c>
      <c r="Q218" s="249"/>
      <c r="R218" s="250" t="str">
        <f>Tableau3453[[#This Row],[Solde 
ouverte
fm]]</f>
        <v/>
      </c>
      <c r="S2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19" spans="1:19" hidden="1" outlineLevel="1" x14ac:dyDescent="0.25">
      <c r="A219" s="238">
        <v>240310</v>
      </c>
      <c r="B219" s="239" t="s">
        <v>870</v>
      </c>
      <c r="C219" s="352" t="str">
        <f>IF(Tableau3453[[#This Row],[Date 
du paiement]]="",IF(Tableau3453[[#This Row],[Jours]]&gt;Tableau3453[[#This Row],[Conditions
pmt+]]+5,"oui",""),"")</f>
        <v/>
      </c>
      <c r="D219" s="238" t="s">
        <v>871</v>
      </c>
      <c r="E219" s="240">
        <v>45383</v>
      </c>
      <c r="F219" s="241">
        <v>721.9</v>
      </c>
      <c r="G219" s="242" t="str">
        <f>IF(Tableau3453[[#This Row],[Date 
du paiement]]="",Tableau3453[[#This Row],[Montant
de la facture
CHF]],"")</f>
        <v/>
      </c>
      <c r="H219" s="243"/>
      <c r="I219" s="245">
        <v>45385</v>
      </c>
      <c r="J219" s="246">
        <v>45392</v>
      </c>
      <c r="K219" s="247" t="s">
        <v>58</v>
      </c>
      <c r="L219" s="248"/>
      <c r="M219" s="248">
        <f>IF(Tableau3453[[#This Row],[Date 
du paiement]]="",$D$4-Tableau3453[[#This Row],[Date
de la facture]],Tableau3453[[#This Row],[Date 
du paiement]]-Tableau3453[[#This Row],[Date
de la facture]])</f>
        <v>9</v>
      </c>
      <c r="N219" s="241" t="str">
        <f>IF(Tableau3453[[#This Row],[Date 
du paiement]]="",IF(Tableau3453[[#This Row],[Jours]]&lt;30,Tableau3453[[#This Row],[Montant
de la facture
CHF]],""),"")</f>
        <v/>
      </c>
      <c r="O219" s="241" t="str">
        <f>IF(Tableau3453[[#This Row],[Date 
du paiement]]="",IF(Tableau3453[[#This Row],[Jours]]&gt;30,IF(Tableau3453[[#This Row],[Jours]]&lt;60,Tableau3453[[#This Row],[Montant
de la facture
CHF]],""),""),"")</f>
        <v/>
      </c>
      <c r="P219" s="241" t="str">
        <f>IF(Tableau3453[[#This Row],[Date 
du paiement]]="",IF(Tableau3453[[#This Row],[Jours]]&gt;60,Tableau3453[[#This Row],[Montant
de la facture
CHF]],""),"")</f>
        <v/>
      </c>
      <c r="Q219" s="249"/>
      <c r="R219" s="250" t="str">
        <f>Tableau3453[[#This Row],[Solde 
ouverte
fm]]</f>
        <v/>
      </c>
      <c r="S2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0" spans="1:19" hidden="1" outlineLevel="1" x14ac:dyDescent="0.25">
      <c r="A220" s="238">
        <v>13</v>
      </c>
      <c r="B220" s="239" t="s">
        <v>860</v>
      </c>
      <c r="C220" s="352" t="str">
        <f>IF(Tableau3453[[#This Row],[Date 
du paiement]]="",IF(Tableau3453[[#This Row],[Jours]]&gt;Tableau3453[[#This Row],[Conditions
pmt+]]+5,"oui",""),"")</f>
        <v/>
      </c>
      <c r="D220" s="238" t="s">
        <v>973</v>
      </c>
      <c r="E220" s="240">
        <v>45384</v>
      </c>
      <c r="F220" s="241">
        <v>-98.2</v>
      </c>
      <c r="G220" s="242" t="str">
        <f>IF(Tableau3453[[#This Row],[Date 
du paiement]]="",Tableau3453[[#This Row],[Montant
de la facture
CHF]],"")</f>
        <v/>
      </c>
      <c r="H220" s="243" t="s">
        <v>980</v>
      </c>
      <c r="I220" s="245">
        <v>45385</v>
      </c>
      <c r="J220" s="246">
        <v>45408</v>
      </c>
      <c r="K220" s="247" t="s">
        <v>58</v>
      </c>
      <c r="L220" s="248"/>
      <c r="M220" s="248">
        <f>IF(Tableau3453[[#This Row],[Date 
du paiement]]="",$D$4-Tableau3453[[#This Row],[Date
de la facture]],Tableau3453[[#This Row],[Date 
du paiement]]-Tableau3453[[#This Row],[Date
de la facture]])</f>
        <v>24</v>
      </c>
      <c r="N220" s="241" t="str">
        <f>IF(Tableau3453[[#This Row],[Date 
du paiement]]="",IF(Tableau3453[[#This Row],[Jours]]&lt;30,Tableau3453[[#This Row],[Montant
de la facture
CHF]],""),"")</f>
        <v/>
      </c>
      <c r="O220" s="241" t="str">
        <f>IF(Tableau3453[[#This Row],[Date 
du paiement]]="",IF(Tableau3453[[#This Row],[Jours]]&gt;30,IF(Tableau3453[[#This Row],[Jours]]&lt;60,Tableau3453[[#This Row],[Montant
de la facture
CHF]],""),""),"")</f>
        <v/>
      </c>
      <c r="P220" s="241" t="str">
        <f>IF(Tableau3453[[#This Row],[Date 
du paiement]]="",IF(Tableau3453[[#This Row],[Jours]]&gt;60,Tableau3453[[#This Row],[Montant
de la facture
CHF]],""),"")</f>
        <v/>
      </c>
      <c r="Q220" s="249"/>
      <c r="R220" s="250" t="str">
        <f>Tableau3453[[#This Row],[Solde 
ouverte
fm]]</f>
        <v/>
      </c>
      <c r="S22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1" spans="1:19" hidden="1" outlineLevel="1" x14ac:dyDescent="0.25">
      <c r="A221" s="238">
        <v>240307</v>
      </c>
      <c r="B221" s="239" t="s">
        <v>860</v>
      </c>
      <c r="C221" s="352" t="str">
        <f>IF(Tableau3453[[#This Row],[Date 
du paiement]]="",IF(Tableau3453[[#This Row],[Jours]]&gt;Tableau3453[[#This Row],[Conditions
pmt+]]+5,"oui",""),"")</f>
        <v/>
      </c>
      <c r="D221" s="238" t="s">
        <v>981</v>
      </c>
      <c r="E221" s="240">
        <v>45384</v>
      </c>
      <c r="F221" s="241">
        <v>300.5</v>
      </c>
      <c r="G221" s="242" t="str">
        <f>IF(Tableau3453[[#This Row],[Date 
du paiement]]="",Tableau3453[[#This Row],[Montant
de la facture
CHF]],"")</f>
        <v/>
      </c>
      <c r="H221" s="243"/>
      <c r="I221" s="245">
        <v>45384</v>
      </c>
      <c r="J221" s="246">
        <v>45384</v>
      </c>
      <c r="K221" s="247" t="s">
        <v>982</v>
      </c>
      <c r="L221" s="248"/>
      <c r="M221" s="248">
        <f>IF(Tableau3453[[#This Row],[Date 
du paiement]]="",$D$4-Tableau3453[[#This Row],[Date
de la facture]],Tableau3453[[#This Row],[Date 
du paiement]]-Tableau3453[[#This Row],[Date
de la facture]])</f>
        <v>0</v>
      </c>
      <c r="N221" s="241" t="str">
        <f>IF(Tableau3453[[#This Row],[Date 
du paiement]]="",IF(Tableau3453[[#This Row],[Jours]]&lt;30,Tableau3453[[#This Row],[Montant
de la facture
CHF]],""),"")</f>
        <v/>
      </c>
      <c r="O221" s="241" t="str">
        <f>IF(Tableau3453[[#This Row],[Date 
du paiement]]="",IF(Tableau3453[[#This Row],[Jours]]&gt;30,IF(Tableau3453[[#This Row],[Jours]]&lt;60,Tableau3453[[#This Row],[Montant
de la facture
CHF]],""),""),"")</f>
        <v/>
      </c>
      <c r="P221" s="241" t="str">
        <f>IF(Tableau3453[[#This Row],[Date 
du paiement]]="",IF(Tableau3453[[#This Row],[Jours]]&gt;60,Tableau3453[[#This Row],[Montant
de la facture
CHF]],""),"")</f>
        <v/>
      </c>
      <c r="Q221" s="249"/>
      <c r="R221" s="267" t="str">
        <f>Tableau3453[[#This Row],[Solde 
ouverte
fm]]</f>
        <v/>
      </c>
      <c r="S2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2" spans="1:19" hidden="1" outlineLevel="1" x14ac:dyDescent="0.25">
      <c r="A222" s="238">
        <v>240313</v>
      </c>
      <c r="B222" s="239" t="s">
        <v>860</v>
      </c>
      <c r="C222" s="352" t="str">
        <f>IF(Tableau3453[[#This Row],[Date 
du paiement]]="",IF(Tableau3453[[#This Row],[Jours]]&gt;Tableau3453[[#This Row],[Conditions
pmt+]]+5,"oui",""),"")</f>
        <v/>
      </c>
      <c r="D222" s="238" t="s">
        <v>931</v>
      </c>
      <c r="E222" s="240">
        <v>45385</v>
      </c>
      <c r="F222" s="241">
        <v>1409.05</v>
      </c>
      <c r="G222" s="242" t="str">
        <f>IF(Tableau3453[[#This Row],[Date 
du paiement]]="",Tableau3453[[#This Row],[Montant
de la facture
CHF]],"")</f>
        <v/>
      </c>
      <c r="H222" s="243"/>
      <c r="I222" s="245">
        <v>45391</v>
      </c>
      <c r="J222" s="246">
        <v>45420</v>
      </c>
      <c r="K222" s="247" t="s">
        <v>58</v>
      </c>
      <c r="L222" s="248"/>
      <c r="M222" s="248">
        <f>IF(Tableau3453[[#This Row],[Date 
du paiement]]="",$D$4-Tableau3453[[#This Row],[Date
de la facture]],Tableau3453[[#This Row],[Date 
du paiement]]-Tableau3453[[#This Row],[Date
de la facture]])</f>
        <v>35</v>
      </c>
      <c r="N222" s="241" t="str">
        <f>IF(Tableau3453[[#This Row],[Date 
du paiement]]="",IF(Tableau3453[[#This Row],[Jours]]&lt;30,Tableau3453[[#This Row],[Montant
de la facture
CHF]],""),"")</f>
        <v/>
      </c>
      <c r="O222" s="241" t="str">
        <f>IF(Tableau3453[[#This Row],[Date 
du paiement]]="",IF(Tableau3453[[#This Row],[Jours]]&gt;30,IF(Tableau3453[[#This Row],[Jours]]&lt;60,Tableau3453[[#This Row],[Montant
de la facture
CHF]],""),""),"")</f>
        <v/>
      </c>
      <c r="P222" s="241" t="str">
        <f>IF(Tableau3453[[#This Row],[Date 
du paiement]]="",IF(Tableau3453[[#This Row],[Jours]]&gt;60,Tableau3453[[#This Row],[Montant
de la facture
CHF]],""),"")</f>
        <v/>
      </c>
      <c r="Q222" s="249"/>
      <c r="R222" s="250" t="str">
        <f>Tableau3453[[#This Row],[Solde 
ouverte
fm]]</f>
        <v/>
      </c>
      <c r="S2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3" spans="1:19" hidden="1" outlineLevel="1" x14ac:dyDescent="0.25">
      <c r="A223" s="238">
        <v>240044</v>
      </c>
      <c r="B223" s="239" t="s">
        <v>860</v>
      </c>
      <c r="C223" s="352" t="str">
        <f>IF(Tableau3453[[#This Row],[Date 
du paiement]]="",IF(Tableau3453[[#This Row],[Jours]]&gt;Tableau3453[[#This Row],[Conditions
pmt+]]+5,"oui",""),"")</f>
        <v/>
      </c>
      <c r="D223" s="238" t="s">
        <v>983</v>
      </c>
      <c r="E223" s="240">
        <v>45386</v>
      </c>
      <c r="F223" s="241">
        <v>40097</v>
      </c>
      <c r="G223" s="242" t="str">
        <f>IF(Tableau3453[[#This Row],[Date 
du paiement]]="",Tableau3453[[#This Row],[Montant
de la facture
CHF]],"")</f>
        <v/>
      </c>
      <c r="H223" s="243"/>
      <c r="I223" s="245">
        <v>45387</v>
      </c>
      <c r="J223" s="246">
        <v>45407</v>
      </c>
      <c r="K223" s="247" t="s">
        <v>58</v>
      </c>
      <c r="L223" s="248"/>
      <c r="M223" s="248">
        <f>IF(Tableau3453[[#This Row],[Date 
du paiement]]="",$D$4-Tableau3453[[#This Row],[Date
de la facture]],Tableau3453[[#This Row],[Date 
du paiement]]-Tableau3453[[#This Row],[Date
de la facture]])</f>
        <v>21</v>
      </c>
      <c r="N223" s="241" t="str">
        <f>IF(Tableau3453[[#This Row],[Date 
du paiement]]="",IF(Tableau3453[[#This Row],[Jours]]&lt;30,Tableau3453[[#This Row],[Montant
de la facture
CHF]],""),"")</f>
        <v/>
      </c>
      <c r="O223" s="241" t="str">
        <f>IF(Tableau3453[[#This Row],[Date 
du paiement]]="",IF(Tableau3453[[#This Row],[Jours]]&gt;30,IF(Tableau3453[[#This Row],[Jours]]&lt;60,Tableau3453[[#This Row],[Montant
de la facture
CHF]],""),""),"")</f>
        <v/>
      </c>
      <c r="P223" s="241" t="str">
        <f>IF(Tableau3453[[#This Row],[Date 
du paiement]]="",IF(Tableau3453[[#This Row],[Jours]]&gt;60,Tableau3453[[#This Row],[Montant
de la facture
CHF]],""),"")</f>
        <v/>
      </c>
      <c r="Q223" s="249"/>
      <c r="R223" s="250" t="str">
        <f>Tableau3453[[#This Row],[Solde 
ouverte
fm]]</f>
        <v/>
      </c>
      <c r="S2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4" spans="1:19" hidden="1" outlineLevel="1" x14ac:dyDescent="0.25">
      <c r="A224" s="238">
        <v>240304</v>
      </c>
      <c r="B224" s="239" t="s">
        <v>857</v>
      </c>
      <c r="C224" s="352" t="str">
        <f>IF(Tableau3453[[#This Row],[Date 
du paiement]]="",IF(Tableau3453[[#This Row],[Jours]]&gt;Tableau3453[[#This Row],[Conditions
pmt+]]+5,"oui",""),"")</f>
        <v/>
      </c>
      <c r="D224" s="251" t="s">
        <v>865</v>
      </c>
      <c r="E224" s="240">
        <v>45387</v>
      </c>
      <c r="F224" s="241">
        <v>584.29999999999995</v>
      </c>
      <c r="G224" s="242" t="str">
        <f>IF(Tableau3453[[#This Row],[Date 
du paiement]]="",Tableau3453[[#This Row],[Montant
de la facture
CHF]],"")</f>
        <v/>
      </c>
      <c r="H224" s="243"/>
      <c r="I224" s="245">
        <v>45387</v>
      </c>
      <c r="J224" s="246">
        <v>45471</v>
      </c>
      <c r="K224" s="247" t="s">
        <v>58</v>
      </c>
      <c r="L224" s="248">
        <v>3</v>
      </c>
      <c r="M224" s="248">
        <f>IF(Tableau3453[[#This Row],[Date 
du paiement]]="",$D$4-Tableau3453[[#This Row],[Date
de la facture]],Tableau3453[[#This Row],[Date 
du paiement]]-Tableau3453[[#This Row],[Date
de la facture]])</f>
        <v>84</v>
      </c>
      <c r="N224" s="241" t="str">
        <f>IF(Tableau3453[[#This Row],[Date 
du paiement]]="",IF(Tableau3453[[#This Row],[Jours]]&lt;30,Tableau3453[[#This Row],[Montant
de la facture
CHF]],""),"")</f>
        <v/>
      </c>
      <c r="O224" s="241" t="str">
        <f>IF(Tableau3453[[#This Row],[Date 
du paiement]]="",IF(Tableau3453[[#This Row],[Jours]]&gt;30,IF(Tableau3453[[#This Row],[Jours]]&lt;60,Tableau3453[[#This Row],[Montant
de la facture
CHF]],""),""),"")</f>
        <v/>
      </c>
      <c r="P224" s="241" t="str">
        <f>IF(Tableau3453[[#This Row],[Date 
du paiement]]="",IF(Tableau3453[[#This Row],[Jours]]&gt;60,Tableau3453[[#This Row],[Montant
de la facture
CHF]],""),"")</f>
        <v/>
      </c>
      <c r="Q224" s="249" t="s">
        <v>1086</v>
      </c>
      <c r="R224" s="250" t="str">
        <f>Tableau3453[[#This Row],[Solde 
ouverte
fm]]</f>
        <v/>
      </c>
      <c r="S2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5" spans="1:19" hidden="1" outlineLevel="1" x14ac:dyDescent="0.25">
      <c r="A225" s="238">
        <v>240294</v>
      </c>
      <c r="B225" s="239" t="s">
        <v>857</v>
      </c>
      <c r="C225" s="352" t="str">
        <f>IF(Tableau3453[[#This Row],[Date 
du paiement]]="",IF(Tableau3453[[#This Row],[Jours]]&gt;Tableau3453[[#This Row],[Conditions
pmt+]]+5,"oui",""),"")</f>
        <v/>
      </c>
      <c r="D225" s="238" t="s">
        <v>916</v>
      </c>
      <c r="E225" s="240">
        <v>45387</v>
      </c>
      <c r="F225" s="241">
        <v>4143.8999999999996</v>
      </c>
      <c r="G225" s="242" t="str">
        <f>IF(Tableau3453[[#This Row],[Date 
du paiement]]="",Tableau3453[[#This Row],[Montant
de la facture
CHF]],"")</f>
        <v/>
      </c>
      <c r="H225" s="243"/>
      <c r="I225" s="245">
        <v>45394</v>
      </c>
      <c r="J225" s="246">
        <v>45447</v>
      </c>
      <c r="K225" s="247" t="s">
        <v>58</v>
      </c>
      <c r="L225" s="248"/>
      <c r="M225" s="248">
        <f>IF(Tableau3453[[#This Row],[Date 
du paiement]]="",$D$4-Tableau3453[[#This Row],[Date
de la facture]],Tableau3453[[#This Row],[Date 
du paiement]]-Tableau3453[[#This Row],[Date
de la facture]])</f>
        <v>60</v>
      </c>
      <c r="N225" s="241" t="str">
        <f>IF(Tableau3453[[#This Row],[Date 
du paiement]]="",IF(Tableau3453[[#This Row],[Jours]]&lt;30,Tableau3453[[#This Row],[Montant
de la facture
CHF]],""),"")</f>
        <v/>
      </c>
      <c r="O225" s="241" t="str">
        <f>IF(Tableau3453[[#This Row],[Date 
du paiement]]="",IF(Tableau3453[[#This Row],[Jours]]&gt;30,IF(Tableau3453[[#This Row],[Jours]]&lt;60,Tableau3453[[#This Row],[Montant
de la facture
CHF]],""),""),"")</f>
        <v/>
      </c>
      <c r="P225" s="241" t="str">
        <f>IF(Tableau3453[[#This Row],[Date 
du paiement]]="",IF(Tableau3453[[#This Row],[Jours]]&gt;60,Tableau3453[[#This Row],[Montant
de la facture
CHF]],""),"")</f>
        <v/>
      </c>
      <c r="Q225" s="249"/>
      <c r="R225" s="250" t="str">
        <f>Tableau3453[[#This Row],[Solde 
ouverte
fm]]</f>
        <v/>
      </c>
      <c r="S22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6" spans="1:19" hidden="1" outlineLevel="1" x14ac:dyDescent="0.25">
      <c r="A226" s="238">
        <v>240316</v>
      </c>
      <c r="B226" s="239" t="s">
        <v>860</v>
      </c>
      <c r="C226" s="352" t="str">
        <f>IF(Tableau3453[[#This Row],[Date 
du paiement]]="",IF(Tableau3453[[#This Row],[Jours]]&gt;Tableau3453[[#This Row],[Conditions
pmt+]]+5,"oui",""),"")</f>
        <v/>
      </c>
      <c r="D226" s="238" t="s">
        <v>910</v>
      </c>
      <c r="E226" s="240">
        <v>45387</v>
      </c>
      <c r="F226" s="241">
        <v>514.6</v>
      </c>
      <c r="G226" s="242" t="str">
        <f>IF(Tableau3453[[#This Row],[Date 
du paiement]]="",Tableau3453[[#This Row],[Montant
de la facture
CHF]],"")</f>
        <v/>
      </c>
      <c r="H226" s="243"/>
      <c r="I226" s="245">
        <v>45393</v>
      </c>
      <c r="J226" s="246">
        <v>45419</v>
      </c>
      <c r="K226" s="247" t="s">
        <v>58</v>
      </c>
      <c r="L226" s="248"/>
      <c r="M226" s="248">
        <f>IF(Tableau3453[[#This Row],[Date 
du paiement]]="",$D$4-Tableau3453[[#This Row],[Date
de la facture]],Tableau3453[[#This Row],[Date 
du paiement]]-Tableau3453[[#This Row],[Date
de la facture]])</f>
        <v>32</v>
      </c>
      <c r="N226" s="241" t="str">
        <f>IF(Tableau3453[[#This Row],[Date 
du paiement]]="",IF(Tableau3453[[#This Row],[Jours]]&lt;30,Tableau3453[[#This Row],[Montant
de la facture
CHF]],""),"")</f>
        <v/>
      </c>
      <c r="O226" s="241" t="str">
        <f>IF(Tableau3453[[#This Row],[Date 
du paiement]]="",IF(Tableau3453[[#This Row],[Jours]]&gt;30,IF(Tableau3453[[#This Row],[Jours]]&lt;60,Tableau3453[[#This Row],[Montant
de la facture
CHF]],""),""),"")</f>
        <v/>
      </c>
      <c r="P226" s="241" t="str">
        <f>IF(Tableau3453[[#This Row],[Date 
du paiement]]="",IF(Tableau3453[[#This Row],[Jours]]&gt;60,Tableau3453[[#This Row],[Montant
de la facture
CHF]],""),"")</f>
        <v/>
      </c>
      <c r="Q226" s="249"/>
      <c r="R226" s="250" t="str">
        <f>Tableau3453[[#This Row],[Solde 
ouverte
fm]]</f>
        <v/>
      </c>
      <c r="S2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7" spans="1:19" hidden="1" outlineLevel="1" x14ac:dyDescent="0.25">
      <c r="A227" s="238">
        <v>240301</v>
      </c>
      <c r="B227" s="239" t="s">
        <v>860</v>
      </c>
      <c r="C227" s="352" t="str">
        <f>IF(Tableau3453[[#This Row],[Date 
du paiement]]="",IF(Tableau3453[[#This Row],[Jours]]&gt;Tableau3453[[#This Row],[Conditions
pmt+]]+5,"oui",""),"")</f>
        <v/>
      </c>
      <c r="D227" s="238" t="s">
        <v>927</v>
      </c>
      <c r="E227" s="240">
        <v>45387</v>
      </c>
      <c r="F227" s="241">
        <v>97.3</v>
      </c>
      <c r="G227" s="242" t="str">
        <f>IF(Tableau3453[[#This Row],[Date 
du paiement]]="",Tableau3453[[#This Row],[Montant
de la facture
CHF]],"")</f>
        <v/>
      </c>
      <c r="H227" s="243"/>
      <c r="I227" s="245">
        <v>45391</v>
      </c>
      <c r="J227" s="246">
        <v>45418</v>
      </c>
      <c r="K227" s="247" t="s">
        <v>58</v>
      </c>
      <c r="L227" s="248"/>
      <c r="M227" s="248">
        <f>IF(Tableau3453[[#This Row],[Date 
du paiement]]="",$D$4-Tableau3453[[#This Row],[Date
de la facture]],Tableau3453[[#This Row],[Date 
du paiement]]-Tableau3453[[#This Row],[Date
de la facture]])</f>
        <v>31</v>
      </c>
      <c r="N227" s="241" t="str">
        <f>IF(Tableau3453[[#This Row],[Date 
du paiement]]="",IF(Tableau3453[[#This Row],[Jours]]&lt;30,Tableau3453[[#This Row],[Montant
de la facture
CHF]],""),"")</f>
        <v/>
      </c>
      <c r="O227" s="241" t="str">
        <f>IF(Tableau3453[[#This Row],[Date 
du paiement]]="",IF(Tableau3453[[#This Row],[Jours]]&gt;30,IF(Tableau3453[[#This Row],[Jours]]&lt;60,Tableau3453[[#This Row],[Montant
de la facture
CHF]],""),""),"")</f>
        <v/>
      </c>
      <c r="P227" s="241" t="str">
        <f>IF(Tableau3453[[#This Row],[Date 
du paiement]]="",IF(Tableau3453[[#This Row],[Jours]]&gt;60,Tableau3453[[#This Row],[Montant
de la facture
CHF]],""),"")</f>
        <v/>
      </c>
      <c r="Q227" s="249"/>
      <c r="R227" s="250" t="str">
        <f>Tableau3453[[#This Row],[Solde 
ouverte
fm]]</f>
        <v/>
      </c>
      <c r="S2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8" spans="1:19" hidden="1" outlineLevel="1" x14ac:dyDescent="0.25">
      <c r="A228" s="238">
        <v>240171</v>
      </c>
      <c r="B228" s="239" t="s">
        <v>860</v>
      </c>
      <c r="C228" s="352" t="str">
        <f>IF(Tableau3453[[#This Row],[Date 
du paiement]]="",IF(Tableau3453[[#This Row],[Jours]]&gt;Tableau3453[[#This Row],[Conditions
pmt+]]+5,"oui",""),"")</f>
        <v/>
      </c>
      <c r="D228" s="238" t="s">
        <v>927</v>
      </c>
      <c r="E228" s="240">
        <v>45387</v>
      </c>
      <c r="F228" s="241">
        <v>300.5</v>
      </c>
      <c r="G228" s="242" t="str">
        <f>IF(Tableau3453[[#This Row],[Date 
du paiement]]="",Tableau3453[[#This Row],[Montant
de la facture
CHF]],"")</f>
        <v/>
      </c>
      <c r="H228" s="243"/>
      <c r="I228" s="245">
        <v>45391</v>
      </c>
      <c r="J228" s="246">
        <v>45418</v>
      </c>
      <c r="K228" s="247" t="s">
        <v>58</v>
      </c>
      <c r="L228" s="248"/>
      <c r="M228" s="248">
        <f>IF(Tableau3453[[#This Row],[Date 
du paiement]]="",$D$4-Tableau3453[[#This Row],[Date
de la facture]],Tableau3453[[#This Row],[Date 
du paiement]]-Tableau3453[[#This Row],[Date
de la facture]])</f>
        <v>31</v>
      </c>
      <c r="N228" s="241" t="str">
        <f>IF(Tableau3453[[#This Row],[Date 
du paiement]]="",IF(Tableau3453[[#This Row],[Jours]]&lt;30,Tableau3453[[#This Row],[Montant
de la facture
CHF]],""),"")</f>
        <v/>
      </c>
      <c r="O228" s="241" t="str">
        <f>IF(Tableau3453[[#This Row],[Date 
du paiement]]="",IF(Tableau3453[[#This Row],[Jours]]&gt;30,IF(Tableau3453[[#This Row],[Jours]]&lt;60,Tableau3453[[#This Row],[Montant
de la facture
CHF]],""),""),"")</f>
        <v/>
      </c>
      <c r="P228" s="241" t="str">
        <f>IF(Tableau3453[[#This Row],[Date 
du paiement]]="",IF(Tableau3453[[#This Row],[Jours]]&gt;60,Tableau3453[[#This Row],[Montant
de la facture
CHF]],""),"")</f>
        <v/>
      </c>
      <c r="Q228" s="249"/>
      <c r="R228" s="250" t="str">
        <f>Tableau3453[[#This Row],[Solde 
ouverte
fm]]</f>
        <v/>
      </c>
      <c r="S2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29" spans="1:19" hidden="1" outlineLevel="1" x14ac:dyDescent="0.25">
      <c r="A229" s="238">
        <v>240305</v>
      </c>
      <c r="B229" s="239" t="s">
        <v>860</v>
      </c>
      <c r="C229" s="352" t="str">
        <f>IF(Tableau3453[[#This Row],[Date 
du paiement]]="",IF(Tableau3453[[#This Row],[Jours]]&gt;Tableau3453[[#This Row],[Conditions
pmt+]]+5,"oui",""),"")</f>
        <v/>
      </c>
      <c r="D229" s="238" t="s">
        <v>879</v>
      </c>
      <c r="E229" s="240">
        <v>45387</v>
      </c>
      <c r="F229" s="241">
        <v>1384.25</v>
      </c>
      <c r="G229" s="242" t="str">
        <f>IF(Tableau3453[[#This Row],[Date 
du paiement]]="",Tableau3453[[#This Row],[Montant
de la facture
CHF]],"")</f>
        <v/>
      </c>
      <c r="H229" s="243" t="s">
        <v>886</v>
      </c>
      <c r="I229" s="245">
        <v>45387</v>
      </c>
      <c r="J229" s="246">
        <v>45414</v>
      </c>
      <c r="K229" s="247" t="s">
        <v>58</v>
      </c>
      <c r="L229" s="248"/>
      <c r="M229" s="248">
        <f>IF(Tableau3453[[#This Row],[Date 
du paiement]]="",$D$4-Tableau3453[[#This Row],[Date
de la facture]],Tableau3453[[#This Row],[Date 
du paiement]]-Tableau3453[[#This Row],[Date
de la facture]])</f>
        <v>27</v>
      </c>
      <c r="N229" s="241" t="str">
        <f>IF(Tableau3453[[#This Row],[Date 
du paiement]]="",IF(Tableau3453[[#This Row],[Jours]]&lt;30,Tableau3453[[#This Row],[Montant
de la facture
CHF]],""),"")</f>
        <v/>
      </c>
      <c r="O229" s="241" t="str">
        <f>IF(Tableau3453[[#This Row],[Date 
du paiement]]="",IF(Tableau3453[[#This Row],[Jours]]&gt;30,IF(Tableau3453[[#This Row],[Jours]]&lt;60,Tableau3453[[#This Row],[Montant
de la facture
CHF]],""),""),"")</f>
        <v/>
      </c>
      <c r="P229" s="241" t="str">
        <f>IF(Tableau3453[[#This Row],[Date 
du paiement]]="",IF(Tableau3453[[#This Row],[Jours]]&gt;60,Tableau3453[[#This Row],[Montant
de la facture
CHF]],""),"")</f>
        <v/>
      </c>
      <c r="Q229" s="249"/>
      <c r="R229" s="250" t="str">
        <f>Tableau3453[[#This Row],[Solde 
ouverte
fm]]</f>
        <v/>
      </c>
      <c r="S22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0" spans="1:19" hidden="1" outlineLevel="1" x14ac:dyDescent="0.25">
      <c r="A230" s="238">
        <v>240144</v>
      </c>
      <c r="B230" s="239" t="s">
        <v>860</v>
      </c>
      <c r="C230" s="352" t="str">
        <f>IF(Tableau3453[[#This Row],[Date 
du paiement]]="",IF(Tableau3453[[#This Row],[Jours]]&gt;Tableau3453[[#This Row],[Conditions
pmt+]]+5,"oui",""),"")</f>
        <v/>
      </c>
      <c r="D230" s="238" t="s">
        <v>984</v>
      </c>
      <c r="E230" s="240">
        <v>45387</v>
      </c>
      <c r="F230" s="241">
        <v>3548.65</v>
      </c>
      <c r="G230" s="242" t="str">
        <f>IF(Tableau3453[[#This Row],[Date 
du paiement]]="",Tableau3453[[#This Row],[Montant
de la facture
CHF]],"")</f>
        <v/>
      </c>
      <c r="H230" s="243"/>
      <c r="I230" s="245">
        <v>45391</v>
      </c>
      <c r="J230" s="246">
        <v>45412</v>
      </c>
      <c r="K230" s="247" t="s">
        <v>58</v>
      </c>
      <c r="L230" s="248"/>
      <c r="M230" s="248">
        <f>IF(Tableau3453[[#This Row],[Date 
du paiement]]="",$D$4-Tableau3453[[#This Row],[Date
de la facture]],Tableau3453[[#This Row],[Date 
du paiement]]-Tableau3453[[#This Row],[Date
de la facture]])</f>
        <v>25</v>
      </c>
      <c r="N230" s="241" t="str">
        <f>IF(Tableau3453[[#This Row],[Date 
du paiement]]="",IF(Tableau3453[[#This Row],[Jours]]&lt;30,Tableau3453[[#This Row],[Montant
de la facture
CHF]],""),"")</f>
        <v/>
      </c>
      <c r="O230" s="241" t="str">
        <f>IF(Tableau3453[[#This Row],[Date 
du paiement]]="",IF(Tableau3453[[#This Row],[Jours]]&gt;30,IF(Tableau3453[[#This Row],[Jours]]&lt;60,Tableau3453[[#This Row],[Montant
de la facture
CHF]],""),""),"")</f>
        <v/>
      </c>
      <c r="P230" s="241" t="str">
        <f>IF(Tableau3453[[#This Row],[Date 
du paiement]]="",IF(Tableau3453[[#This Row],[Jours]]&gt;60,Tableau3453[[#This Row],[Montant
de la facture
CHF]],""),"")</f>
        <v/>
      </c>
      <c r="Q230" s="249"/>
      <c r="R230" s="250" t="str">
        <f>Tableau3453[[#This Row],[Solde 
ouverte
fm]]</f>
        <v/>
      </c>
      <c r="S2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1" spans="1:19" hidden="1" outlineLevel="1" x14ac:dyDescent="0.25">
      <c r="A231" s="238">
        <v>240319</v>
      </c>
      <c r="B231" s="239" t="s">
        <v>860</v>
      </c>
      <c r="C231" s="352" t="str">
        <f>IF(Tableau3453[[#This Row],[Date 
du paiement]]="",IF(Tableau3453[[#This Row],[Jours]]&gt;Tableau3453[[#This Row],[Conditions
pmt+]]+5,"oui",""),"")</f>
        <v/>
      </c>
      <c r="D231" s="238" t="s">
        <v>867</v>
      </c>
      <c r="E231" s="240">
        <v>45390</v>
      </c>
      <c r="F231" s="241">
        <v>1084.95</v>
      </c>
      <c r="G231" s="242" t="str">
        <f>IF(Tableau3453[[#This Row],[Date 
du paiement]]="",Tableau3453[[#This Row],[Montant
de la facture
CHF]],"")</f>
        <v/>
      </c>
      <c r="H231" s="243" t="s">
        <v>868</v>
      </c>
      <c r="I231" s="245">
        <v>45393</v>
      </c>
      <c r="J231" s="246">
        <v>45478</v>
      </c>
      <c r="K231" s="247" t="s">
        <v>58</v>
      </c>
      <c r="L231" s="248">
        <v>5</v>
      </c>
      <c r="M231" s="248">
        <f>IF(Tableau3453[[#This Row],[Date 
du paiement]]="",$D$4-Tableau3453[[#This Row],[Date
de la facture]],Tableau3453[[#This Row],[Date 
du paiement]]-Tableau3453[[#This Row],[Date
de la facture]])</f>
        <v>88</v>
      </c>
      <c r="N231" s="241" t="str">
        <f>IF(Tableau3453[[#This Row],[Date 
du paiement]]="",IF(Tableau3453[[#This Row],[Jours]]&lt;30,Tableau3453[[#This Row],[Montant
de la facture
CHF]],""),"")</f>
        <v/>
      </c>
      <c r="O231" s="241" t="str">
        <f>IF(Tableau3453[[#This Row],[Date 
du paiement]]="",IF(Tableau3453[[#This Row],[Jours]]&gt;30,IF(Tableau3453[[#This Row],[Jours]]&lt;60,Tableau3453[[#This Row],[Montant
de la facture
CHF]],""),""),"")</f>
        <v/>
      </c>
      <c r="P231" s="241" t="str">
        <f>IF(Tableau3453[[#This Row],[Date 
du paiement]]="",IF(Tableau3453[[#This Row],[Jours]]&gt;60,Tableau3453[[#This Row],[Montant
de la facture
CHF]],""),"")</f>
        <v/>
      </c>
      <c r="Q231" s="249" t="s">
        <v>1106</v>
      </c>
      <c r="R231" s="250" t="str">
        <f>Tableau3453[[#This Row],[Solde 
ouverte
fm]]</f>
        <v/>
      </c>
      <c r="S2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2" spans="1:19" hidden="1" outlineLevel="1" x14ac:dyDescent="0.25">
      <c r="A232" s="238">
        <v>240141</v>
      </c>
      <c r="B232" s="239" t="s">
        <v>857</v>
      </c>
      <c r="C232" s="352" t="str">
        <f>IF(Tableau3453[[#This Row],[Date 
du paiement]]="",IF(Tableau3453[[#This Row],[Jours]]&gt;Tableau3453[[#This Row],[Conditions
pmt+]]+5,"oui",""),"")</f>
        <v/>
      </c>
      <c r="D232" s="251" t="s">
        <v>869</v>
      </c>
      <c r="E232" s="240">
        <v>45390</v>
      </c>
      <c r="F232" s="241">
        <v>578.45000000000005</v>
      </c>
      <c r="G232" s="242" t="str">
        <f>IF(Tableau3453[[#This Row],[Date 
du paiement]]="",Tableau3453[[#This Row],[Montant
de la facture
CHF]],"")</f>
        <v/>
      </c>
      <c r="H232" s="243"/>
      <c r="I232" s="245">
        <v>45393</v>
      </c>
      <c r="J232" s="246">
        <v>45434</v>
      </c>
      <c r="K232" s="247" t="s">
        <v>58</v>
      </c>
      <c r="L232" s="248">
        <v>1</v>
      </c>
      <c r="M232" s="248">
        <f>IF(Tableau3453[[#This Row],[Date 
du paiement]]="",$D$4-Tableau3453[[#This Row],[Date
de la facture]],Tableau3453[[#This Row],[Date 
du paiement]]-Tableau3453[[#This Row],[Date
de la facture]])</f>
        <v>44</v>
      </c>
      <c r="N232" s="241" t="str">
        <f>IF(Tableau3453[[#This Row],[Date 
du paiement]]="",IF(Tableau3453[[#This Row],[Jours]]&lt;30,Tableau3453[[#This Row],[Montant
de la facture
CHF]],""),"")</f>
        <v/>
      </c>
      <c r="O232" s="241" t="str">
        <f>IF(Tableau3453[[#This Row],[Date 
du paiement]]="",IF(Tableau3453[[#This Row],[Jours]]&gt;30,IF(Tableau3453[[#This Row],[Jours]]&lt;60,Tableau3453[[#This Row],[Montant
de la facture
CHF]],""),""),"")</f>
        <v/>
      </c>
      <c r="P232" s="241" t="str">
        <f>IF(Tableau3453[[#This Row],[Date 
du paiement]]="",IF(Tableau3453[[#This Row],[Jours]]&gt;60,Tableau3453[[#This Row],[Montant
de la facture
CHF]],""),"")</f>
        <v/>
      </c>
      <c r="Q232" s="249"/>
      <c r="R232" s="250" t="str">
        <f>Tableau3453[[#This Row],[Solde 
ouverte
fm]]</f>
        <v/>
      </c>
      <c r="S2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3" spans="1:19" hidden="1" outlineLevel="1" x14ac:dyDescent="0.25">
      <c r="A233" s="238">
        <v>240237</v>
      </c>
      <c r="B233" s="239" t="s">
        <v>860</v>
      </c>
      <c r="C233" s="352" t="str">
        <f>IF(Tableau3453[[#This Row],[Date 
du paiement]]="",IF(Tableau3453[[#This Row],[Jours]]&gt;Tableau3453[[#This Row],[Conditions
pmt+]]+5,"oui",""),"")</f>
        <v/>
      </c>
      <c r="D233" s="238" t="s">
        <v>887</v>
      </c>
      <c r="E233" s="240">
        <v>45390</v>
      </c>
      <c r="F233" s="241">
        <v>2267.1999999999998</v>
      </c>
      <c r="G233" s="242" t="str">
        <f>IF(Tableau3453[[#This Row],[Date 
du paiement]]="",Tableau3453[[#This Row],[Montant
de la facture
CHF]],"")</f>
        <v/>
      </c>
      <c r="H233" s="243"/>
      <c r="I233" s="245">
        <v>45393</v>
      </c>
      <c r="J233" s="246">
        <v>45426</v>
      </c>
      <c r="K233" s="247" t="s">
        <v>58</v>
      </c>
      <c r="L233" s="248">
        <v>1</v>
      </c>
      <c r="M233" s="248">
        <f>IF(Tableau3453[[#This Row],[Date 
du paiement]]="",$D$4-Tableau3453[[#This Row],[Date
de la facture]],Tableau3453[[#This Row],[Date 
du paiement]]-Tableau3453[[#This Row],[Date
de la facture]])</f>
        <v>36</v>
      </c>
      <c r="N233" s="241" t="str">
        <f>IF(Tableau3453[[#This Row],[Date 
du paiement]]="",IF(Tableau3453[[#This Row],[Jours]]&lt;30,Tableau3453[[#This Row],[Montant
de la facture
CHF]],""),"")</f>
        <v/>
      </c>
      <c r="O233" s="241" t="str">
        <f>IF(Tableau3453[[#This Row],[Date 
du paiement]]="",IF(Tableau3453[[#This Row],[Jours]]&gt;30,IF(Tableau3453[[#This Row],[Jours]]&lt;60,Tableau3453[[#This Row],[Montant
de la facture
CHF]],""),""),"")</f>
        <v/>
      </c>
      <c r="P233" s="241" t="str">
        <f>IF(Tableau3453[[#This Row],[Date 
du paiement]]="",IF(Tableau3453[[#This Row],[Jours]]&gt;60,Tableau3453[[#This Row],[Montant
de la facture
CHF]],""),"")</f>
        <v/>
      </c>
      <c r="Q233" s="249"/>
      <c r="R233" s="250" t="str">
        <f>Tableau3453[[#This Row],[Solde 
ouverte
fm]]</f>
        <v/>
      </c>
      <c r="S23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4" spans="1:19" hidden="1" outlineLevel="1" x14ac:dyDescent="0.25">
      <c r="A234" s="238">
        <v>240147</v>
      </c>
      <c r="B234" s="239" t="s">
        <v>860</v>
      </c>
      <c r="C234" s="352" t="str">
        <f>IF(Tableau3453[[#This Row],[Date 
du paiement]]="",IF(Tableau3453[[#This Row],[Jours]]&gt;Tableau3453[[#This Row],[Conditions
pmt+]]+5,"oui",""),"")</f>
        <v/>
      </c>
      <c r="D234" s="238" t="s">
        <v>985</v>
      </c>
      <c r="E234" s="240">
        <v>45390</v>
      </c>
      <c r="F234" s="241">
        <v>743.9</v>
      </c>
      <c r="G234" s="242" t="str">
        <f>IF(Tableau3453[[#This Row],[Date 
du paiement]]="",Tableau3453[[#This Row],[Montant
de la facture
CHF]],"")</f>
        <v/>
      </c>
      <c r="H234" s="243"/>
      <c r="I234" s="245">
        <v>45393</v>
      </c>
      <c r="J234" s="246">
        <v>45420</v>
      </c>
      <c r="K234" s="247" t="s">
        <v>58</v>
      </c>
      <c r="L234" s="248"/>
      <c r="M234" s="248">
        <f>IF(Tableau3453[[#This Row],[Date 
du paiement]]="",$D$4-Tableau3453[[#This Row],[Date
de la facture]],Tableau3453[[#This Row],[Date 
du paiement]]-Tableau3453[[#This Row],[Date
de la facture]])</f>
        <v>30</v>
      </c>
      <c r="N234" s="241" t="str">
        <f>IF(Tableau3453[[#This Row],[Date 
du paiement]]="",IF(Tableau3453[[#This Row],[Jours]]&lt;30,Tableau3453[[#This Row],[Montant
de la facture
CHF]],""),"")</f>
        <v/>
      </c>
      <c r="O234" s="241" t="str">
        <f>IF(Tableau3453[[#This Row],[Date 
du paiement]]="",IF(Tableau3453[[#This Row],[Jours]]&gt;30,IF(Tableau3453[[#This Row],[Jours]]&lt;60,Tableau3453[[#This Row],[Montant
de la facture
CHF]],""),""),"")</f>
        <v/>
      </c>
      <c r="P234" s="241" t="str">
        <f>IF(Tableau3453[[#This Row],[Date 
du paiement]]="",IF(Tableau3453[[#This Row],[Jours]]&gt;60,Tableau3453[[#This Row],[Montant
de la facture
CHF]],""),"")</f>
        <v/>
      </c>
      <c r="Q234" s="249"/>
      <c r="R234" s="250" t="str">
        <f>Tableau3453[[#This Row],[Solde 
ouverte
fm]]</f>
        <v/>
      </c>
      <c r="S2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5" spans="1:19" hidden="1" outlineLevel="1" x14ac:dyDescent="0.25">
      <c r="A235" s="238">
        <v>240148</v>
      </c>
      <c r="B235" s="239" t="s">
        <v>860</v>
      </c>
      <c r="C235" s="352" t="str">
        <f>IF(Tableau3453[[#This Row],[Date 
du paiement]]="",IF(Tableau3453[[#This Row],[Jours]]&gt;Tableau3453[[#This Row],[Conditions
pmt+]]+5,"oui",""),"")</f>
        <v/>
      </c>
      <c r="D235" s="238" t="s">
        <v>985</v>
      </c>
      <c r="E235" s="240">
        <v>45390</v>
      </c>
      <c r="F235" s="241">
        <v>761.15</v>
      </c>
      <c r="G235" s="242" t="str">
        <f>IF(Tableau3453[[#This Row],[Date 
du paiement]]="",Tableau3453[[#This Row],[Montant
de la facture
CHF]],"")</f>
        <v/>
      </c>
      <c r="H235" s="243"/>
      <c r="I235" s="245">
        <v>45393</v>
      </c>
      <c r="J235" s="246">
        <v>45420</v>
      </c>
      <c r="K235" s="247" t="s">
        <v>58</v>
      </c>
      <c r="L235" s="248"/>
      <c r="M235" s="248">
        <f>IF(Tableau3453[[#This Row],[Date 
du paiement]]="",$D$4-Tableau3453[[#This Row],[Date
de la facture]],Tableau3453[[#This Row],[Date 
du paiement]]-Tableau3453[[#This Row],[Date
de la facture]])</f>
        <v>30</v>
      </c>
      <c r="N235" s="241" t="str">
        <f>IF(Tableau3453[[#This Row],[Date 
du paiement]]="",IF(Tableau3453[[#This Row],[Jours]]&lt;30,Tableau3453[[#This Row],[Montant
de la facture
CHF]],""),"")</f>
        <v/>
      </c>
      <c r="O235" s="241" t="str">
        <f>IF(Tableau3453[[#This Row],[Date 
du paiement]]="",IF(Tableau3453[[#This Row],[Jours]]&gt;30,IF(Tableau3453[[#This Row],[Jours]]&lt;60,Tableau3453[[#This Row],[Montant
de la facture
CHF]],""),""),"")</f>
        <v/>
      </c>
      <c r="P235" s="241" t="str">
        <f>IF(Tableau3453[[#This Row],[Date 
du paiement]]="",IF(Tableau3453[[#This Row],[Jours]]&gt;60,Tableau3453[[#This Row],[Montant
de la facture
CHF]],""),"")</f>
        <v/>
      </c>
      <c r="Q235" s="249"/>
      <c r="R235" s="250" t="str">
        <f>Tableau3453[[#This Row],[Solde 
ouverte
fm]]</f>
        <v/>
      </c>
      <c r="S2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6" spans="1:19" hidden="1" outlineLevel="1" x14ac:dyDescent="0.25">
      <c r="A236" s="238">
        <v>240128</v>
      </c>
      <c r="B236" s="239" t="s">
        <v>860</v>
      </c>
      <c r="C236" s="352" t="str">
        <f>IF(Tableau3453[[#This Row],[Date 
du paiement]]="",IF(Tableau3453[[#This Row],[Jours]]&gt;Tableau3453[[#This Row],[Conditions
pmt+]]+5,"oui",""),"")</f>
        <v/>
      </c>
      <c r="D236" s="238" t="s">
        <v>986</v>
      </c>
      <c r="E236" s="240">
        <v>45390</v>
      </c>
      <c r="F236" s="241">
        <v>1637.7</v>
      </c>
      <c r="G236" s="242" t="str">
        <f>IF(Tableau3453[[#This Row],[Date 
du paiement]]="",Tableau3453[[#This Row],[Montant
de la facture
CHF]],"")</f>
        <v/>
      </c>
      <c r="H236" s="243"/>
      <c r="I236" s="245">
        <v>45393</v>
      </c>
      <c r="J236" s="246">
        <v>45419</v>
      </c>
      <c r="K236" s="247" t="s">
        <v>58</v>
      </c>
      <c r="L236" s="248"/>
      <c r="M236" s="248">
        <f>IF(Tableau3453[[#This Row],[Date 
du paiement]]="",$D$4-Tableau3453[[#This Row],[Date
de la facture]],Tableau3453[[#This Row],[Date 
du paiement]]-Tableau3453[[#This Row],[Date
de la facture]])</f>
        <v>29</v>
      </c>
      <c r="N236" s="241" t="str">
        <f>IF(Tableau3453[[#This Row],[Date 
du paiement]]="",IF(Tableau3453[[#This Row],[Jours]]&lt;30,Tableau3453[[#This Row],[Montant
de la facture
CHF]],""),"")</f>
        <v/>
      </c>
      <c r="O236" s="241" t="str">
        <f>IF(Tableau3453[[#This Row],[Date 
du paiement]]="",IF(Tableau3453[[#This Row],[Jours]]&gt;30,IF(Tableau3453[[#This Row],[Jours]]&lt;60,Tableau3453[[#This Row],[Montant
de la facture
CHF]],""),""),"")</f>
        <v/>
      </c>
      <c r="P236" s="241" t="str">
        <f>IF(Tableau3453[[#This Row],[Date 
du paiement]]="",IF(Tableau3453[[#This Row],[Jours]]&gt;60,Tableau3453[[#This Row],[Montant
de la facture
CHF]],""),"")</f>
        <v/>
      </c>
      <c r="Q236" s="249"/>
      <c r="R236" s="250" t="str">
        <f>Tableau3453[[#This Row],[Solde 
ouverte
fm]]</f>
        <v/>
      </c>
      <c r="S23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7" spans="1:19" hidden="1" outlineLevel="1" x14ac:dyDescent="0.25">
      <c r="A237" s="238">
        <v>240306</v>
      </c>
      <c r="B237" s="239" t="s">
        <v>860</v>
      </c>
      <c r="C237" s="352" t="str">
        <f>IF(Tableau3453[[#This Row],[Date 
du paiement]]="",IF(Tableau3453[[#This Row],[Jours]]&gt;Tableau3453[[#This Row],[Conditions
pmt+]]+5,"oui",""),"")</f>
        <v/>
      </c>
      <c r="D237" s="238" t="s">
        <v>979</v>
      </c>
      <c r="E237" s="240">
        <v>45390</v>
      </c>
      <c r="F237" s="241">
        <v>5083.3</v>
      </c>
      <c r="G237" s="242" t="str">
        <f>IF(Tableau3453[[#This Row],[Date 
du paiement]]="",Tableau3453[[#This Row],[Montant
de la facture
CHF]],"")</f>
        <v/>
      </c>
      <c r="H237" s="243"/>
      <c r="I237" s="245">
        <v>45393</v>
      </c>
      <c r="J237" s="246">
        <v>45418</v>
      </c>
      <c r="K237" s="247" t="s">
        <v>58</v>
      </c>
      <c r="L237" s="248"/>
      <c r="M237" s="248">
        <f>IF(Tableau3453[[#This Row],[Date 
du paiement]]="",$D$4-Tableau3453[[#This Row],[Date
de la facture]],Tableau3453[[#This Row],[Date 
du paiement]]-Tableau3453[[#This Row],[Date
de la facture]])</f>
        <v>28</v>
      </c>
      <c r="N237" s="241" t="str">
        <f>IF(Tableau3453[[#This Row],[Date 
du paiement]]="",IF(Tableau3453[[#This Row],[Jours]]&lt;30,Tableau3453[[#This Row],[Montant
de la facture
CHF]],""),"")</f>
        <v/>
      </c>
      <c r="O237" s="241" t="str">
        <f>IF(Tableau3453[[#This Row],[Date 
du paiement]]="",IF(Tableau3453[[#This Row],[Jours]]&gt;30,IF(Tableau3453[[#This Row],[Jours]]&lt;60,Tableau3453[[#This Row],[Montant
de la facture
CHF]],""),""),"")</f>
        <v/>
      </c>
      <c r="P237" s="241" t="str">
        <f>IF(Tableau3453[[#This Row],[Date 
du paiement]]="",IF(Tableau3453[[#This Row],[Jours]]&gt;60,Tableau3453[[#This Row],[Montant
de la facture
CHF]],""),"")</f>
        <v/>
      </c>
      <c r="Q237" s="249"/>
      <c r="R237" s="250" t="str">
        <f>Tableau3453[[#This Row],[Solde 
ouverte
fm]]</f>
        <v/>
      </c>
      <c r="S23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8" spans="1:19" hidden="1" outlineLevel="1" x14ac:dyDescent="0.25">
      <c r="A238" s="238">
        <v>240149</v>
      </c>
      <c r="B238" s="239" t="s">
        <v>860</v>
      </c>
      <c r="C238" s="352" t="str">
        <f>IF(Tableau3453[[#This Row],[Date 
du paiement]]="",IF(Tableau3453[[#This Row],[Jours]]&gt;Tableau3453[[#This Row],[Conditions
pmt+]]+5,"oui",""),"")</f>
        <v/>
      </c>
      <c r="D238" s="238" t="s">
        <v>985</v>
      </c>
      <c r="E238" s="240">
        <v>45390</v>
      </c>
      <c r="F238" s="241">
        <v>406</v>
      </c>
      <c r="G238" s="242" t="str">
        <f>IF(Tableau3453[[#This Row],[Date 
du paiement]]="",Tableau3453[[#This Row],[Montant
de la facture
CHF]],"")</f>
        <v/>
      </c>
      <c r="H238" s="243"/>
      <c r="I238" s="245">
        <v>45393</v>
      </c>
      <c r="J238" s="246">
        <v>45411</v>
      </c>
      <c r="K238" s="247" t="s">
        <v>58</v>
      </c>
      <c r="L238" s="248"/>
      <c r="M238" s="248">
        <f>IF(Tableau3453[[#This Row],[Date 
du paiement]]="",$D$4-Tableau3453[[#This Row],[Date
de la facture]],Tableau3453[[#This Row],[Date 
du paiement]]-Tableau3453[[#This Row],[Date
de la facture]])</f>
        <v>21</v>
      </c>
      <c r="N238" s="241" t="str">
        <f>IF(Tableau3453[[#This Row],[Date 
du paiement]]="",IF(Tableau3453[[#This Row],[Jours]]&lt;30,Tableau3453[[#This Row],[Montant
de la facture
CHF]],""),"")</f>
        <v/>
      </c>
      <c r="O238" s="241" t="str">
        <f>IF(Tableau3453[[#This Row],[Date 
du paiement]]="",IF(Tableau3453[[#This Row],[Jours]]&gt;30,IF(Tableau3453[[#This Row],[Jours]]&lt;60,Tableau3453[[#This Row],[Montant
de la facture
CHF]],""),""),"")</f>
        <v/>
      </c>
      <c r="P238" s="241" t="str">
        <f>IF(Tableau3453[[#This Row],[Date 
du paiement]]="",IF(Tableau3453[[#This Row],[Jours]]&gt;60,Tableau3453[[#This Row],[Montant
de la facture
CHF]],""),"")</f>
        <v/>
      </c>
      <c r="Q238" s="249"/>
      <c r="R238" s="250" t="str">
        <f>Tableau3453[[#This Row],[Solde 
ouverte
fm]]</f>
        <v/>
      </c>
      <c r="S23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39" spans="1:19" hidden="1" outlineLevel="1" x14ac:dyDescent="0.25">
      <c r="A239" s="238">
        <v>240273</v>
      </c>
      <c r="B239" s="239" t="s">
        <v>860</v>
      </c>
      <c r="C239" s="352" t="str">
        <f>IF(Tableau3453[[#This Row],[Date 
du paiement]]="",IF(Tableau3453[[#This Row],[Jours]]&gt;Tableau3453[[#This Row],[Conditions
pmt+]]+5,"oui",""),"")</f>
        <v/>
      </c>
      <c r="D239" s="238" t="s">
        <v>866</v>
      </c>
      <c r="E239" s="240">
        <v>45391</v>
      </c>
      <c r="F239" s="241">
        <v>-748.45</v>
      </c>
      <c r="G239" s="242" t="str">
        <f>IF(Tableau3453[[#This Row],[Date 
du paiement]]="",Tableau3453[[#This Row],[Montant
de la facture
CHF]],"")</f>
        <v/>
      </c>
      <c r="H239" s="243" t="s">
        <v>988</v>
      </c>
      <c r="I239" s="245">
        <v>45393</v>
      </c>
      <c r="J239" s="246">
        <v>45419</v>
      </c>
      <c r="K239" s="247" t="s">
        <v>58</v>
      </c>
      <c r="L239" s="248"/>
      <c r="M239" s="248">
        <f>IF(Tableau3453[[#This Row],[Date 
du paiement]]="",$D$4-Tableau3453[[#This Row],[Date
de la facture]],Tableau3453[[#This Row],[Date 
du paiement]]-Tableau3453[[#This Row],[Date
de la facture]])</f>
        <v>28</v>
      </c>
      <c r="N239" s="241" t="str">
        <f>IF(Tableau3453[[#This Row],[Date 
du paiement]]="",IF(Tableau3453[[#This Row],[Jours]]&lt;30,Tableau3453[[#This Row],[Montant
de la facture
CHF]],""),"")</f>
        <v/>
      </c>
      <c r="O239" s="241" t="str">
        <f>IF(Tableau3453[[#This Row],[Date 
du paiement]]="",IF(Tableau3453[[#This Row],[Jours]]&gt;30,IF(Tableau3453[[#This Row],[Jours]]&lt;60,Tableau3453[[#This Row],[Montant
de la facture
CHF]],""),""),"")</f>
        <v/>
      </c>
      <c r="P239" s="241" t="str">
        <f>IF(Tableau3453[[#This Row],[Date 
du paiement]]="",IF(Tableau3453[[#This Row],[Jours]]&gt;60,Tableau3453[[#This Row],[Montant
de la facture
CHF]],""),"")</f>
        <v/>
      </c>
      <c r="Q239" s="249"/>
      <c r="R239" s="250" t="str">
        <f>Tableau3453[[#This Row],[Solde 
ouverte
fm]]</f>
        <v/>
      </c>
      <c r="S2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0" spans="1:19" hidden="1" outlineLevel="1" x14ac:dyDescent="0.25">
      <c r="A240" s="238">
        <v>240352</v>
      </c>
      <c r="B240" s="239" t="s">
        <v>860</v>
      </c>
      <c r="C240" s="352" t="str">
        <f>IF(Tableau3453[[#This Row],[Date 
du paiement]]="",IF(Tableau3453[[#This Row],[Jours]]&gt;Tableau3453[[#This Row],[Conditions
pmt+]]+5,"oui",""),"")</f>
        <v/>
      </c>
      <c r="D240" s="238" t="s">
        <v>989</v>
      </c>
      <c r="E240" s="240">
        <v>45391</v>
      </c>
      <c r="F240" s="241">
        <v>69.099999999999994</v>
      </c>
      <c r="G240" s="242" t="str">
        <f>IF(Tableau3453[[#This Row],[Date 
du paiement]]="",Tableau3453[[#This Row],[Montant
de la facture
CHF]],"")</f>
        <v/>
      </c>
      <c r="H240" s="243" t="s">
        <v>990</v>
      </c>
      <c r="I240" s="245">
        <v>45393</v>
      </c>
      <c r="J240" s="246">
        <v>45412</v>
      </c>
      <c r="K240" s="247" t="s">
        <v>58</v>
      </c>
      <c r="L240" s="248"/>
      <c r="M240" s="248">
        <f>IF(Tableau3453[[#This Row],[Date 
du paiement]]="",$D$4-Tableau3453[[#This Row],[Date
de la facture]],Tableau3453[[#This Row],[Date 
du paiement]]-Tableau3453[[#This Row],[Date
de la facture]])</f>
        <v>21</v>
      </c>
      <c r="N240" s="241" t="str">
        <f>IF(Tableau3453[[#This Row],[Date 
du paiement]]="",IF(Tableau3453[[#This Row],[Jours]]&lt;30,Tableau3453[[#This Row],[Montant
de la facture
CHF]],""),"")</f>
        <v/>
      </c>
      <c r="O240" s="241" t="str">
        <f>IF(Tableau3453[[#This Row],[Date 
du paiement]]="",IF(Tableau3453[[#This Row],[Jours]]&gt;30,IF(Tableau3453[[#This Row],[Jours]]&lt;60,Tableau3453[[#This Row],[Montant
de la facture
CHF]],""),""),"")</f>
        <v/>
      </c>
      <c r="P240" s="241" t="str">
        <f>IF(Tableau3453[[#This Row],[Date 
du paiement]]="",IF(Tableau3453[[#This Row],[Jours]]&gt;60,Tableau3453[[#This Row],[Montant
de la facture
CHF]],""),"")</f>
        <v/>
      </c>
      <c r="Q240" s="249"/>
      <c r="R240" s="250" t="str">
        <f>Tableau3453[[#This Row],[Solde 
ouverte
fm]]</f>
        <v/>
      </c>
      <c r="S24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1" spans="1:19" hidden="1" outlineLevel="1" x14ac:dyDescent="0.25">
      <c r="A241" s="238">
        <v>240352</v>
      </c>
      <c r="B241" s="239" t="s">
        <v>860</v>
      </c>
      <c r="C241" s="352" t="str">
        <f>IF(Tableau3453[[#This Row],[Date 
du paiement]]="",IF(Tableau3453[[#This Row],[Jours]]&gt;Tableau3453[[#This Row],[Conditions
pmt+]]+5,"oui",""),"")</f>
        <v/>
      </c>
      <c r="D241" s="238" t="s">
        <v>989</v>
      </c>
      <c r="E241" s="240">
        <v>45391</v>
      </c>
      <c r="F241" s="241">
        <v>524.29999999999995</v>
      </c>
      <c r="G241" s="242" t="str">
        <f>IF(Tableau3453[[#This Row],[Date 
du paiement]]="",Tableau3453[[#This Row],[Montant
de la facture
CHF]],"")</f>
        <v/>
      </c>
      <c r="H241" s="243" t="s">
        <v>990</v>
      </c>
      <c r="I241" s="245">
        <v>45393</v>
      </c>
      <c r="J241" s="246">
        <v>45387</v>
      </c>
      <c r="K241" s="247" t="s">
        <v>907</v>
      </c>
      <c r="L241" s="248"/>
      <c r="M241" s="248">
        <f>IF(Tableau3453[[#This Row],[Date 
du paiement]]="",$D$4-Tableau3453[[#This Row],[Date
de la facture]],Tableau3453[[#This Row],[Date 
du paiement]]-Tableau3453[[#This Row],[Date
de la facture]])</f>
        <v>-4</v>
      </c>
      <c r="N241" s="241" t="str">
        <f>IF(Tableau3453[[#This Row],[Date 
du paiement]]="",IF(Tableau3453[[#This Row],[Jours]]&lt;30,Tableau3453[[#This Row],[Montant
de la facture
CHF]],""),"")</f>
        <v/>
      </c>
      <c r="O241" s="241" t="str">
        <f>IF(Tableau3453[[#This Row],[Date 
du paiement]]="",IF(Tableau3453[[#This Row],[Jours]]&gt;30,IF(Tableau3453[[#This Row],[Jours]]&lt;60,Tableau3453[[#This Row],[Montant
de la facture
CHF]],""),""),"")</f>
        <v/>
      </c>
      <c r="P241" s="241" t="str">
        <f>IF(Tableau3453[[#This Row],[Date 
du paiement]]="",IF(Tableau3453[[#This Row],[Jours]]&gt;60,Tableau3453[[#This Row],[Montant
de la facture
CHF]],""),"")</f>
        <v/>
      </c>
      <c r="Q241" s="249"/>
      <c r="R241" s="267" t="str">
        <f>Tableau3453[[#This Row],[Solde 
ouverte
fm]]</f>
        <v/>
      </c>
      <c r="S24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2" spans="1:19" hidden="1" outlineLevel="1" x14ac:dyDescent="0.25">
      <c r="A242" s="238">
        <v>240273</v>
      </c>
      <c r="B242" s="239" t="s">
        <v>860</v>
      </c>
      <c r="C242" s="352" t="str">
        <f>IF(Tableau3453[[#This Row],[Date 
du paiement]]="",IF(Tableau3453[[#This Row],[Jours]]&gt;Tableau3453[[#This Row],[Conditions
pmt+]]+5,"oui",""),"")</f>
        <v/>
      </c>
      <c r="D242" s="238" t="s">
        <v>866</v>
      </c>
      <c r="E242" s="240">
        <v>45391</v>
      </c>
      <c r="F242" s="241">
        <v>2993.7</v>
      </c>
      <c r="G242" s="242" t="str">
        <f>IF(Tableau3453[[#This Row],[Date 
du paiement]]="",Tableau3453[[#This Row],[Montant
de la facture
CHF]],"")</f>
        <v/>
      </c>
      <c r="H242" s="243" t="s">
        <v>988</v>
      </c>
      <c r="I242" s="245">
        <v>45393</v>
      </c>
      <c r="J242" s="246">
        <v>45370</v>
      </c>
      <c r="K242" s="247" t="s">
        <v>907</v>
      </c>
      <c r="L242" s="248"/>
      <c r="M242" s="248">
        <f>IF(Tableau3453[[#This Row],[Date 
du paiement]]="",$D$4-Tableau3453[[#This Row],[Date
de la facture]],Tableau3453[[#This Row],[Date 
du paiement]]-Tableau3453[[#This Row],[Date
de la facture]])</f>
        <v>-21</v>
      </c>
      <c r="N242" s="241" t="str">
        <f>IF(Tableau3453[[#This Row],[Date 
du paiement]]="",IF(Tableau3453[[#This Row],[Jours]]&lt;30,Tableau3453[[#This Row],[Montant
de la facture
CHF]],""),"")</f>
        <v/>
      </c>
      <c r="O242" s="241" t="str">
        <f>IF(Tableau3453[[#This Row],[Date 
du paiement]]="",IF(Tableau3453[[#This Row],[Jours]]&gt;30,IF(Tableau3453[[#This Row],[Jours]]&lt;60,Tableau3453[[#This Row],[Montant
de la facture
CHF]],""),""),"")</f>
        <v/>
      </c>
      <c r="P242" s="241" t="str">
        <f>IF(Tableau3453[[#This Row],[Date 
du paiement]]="",IF(Tableau3453[[#This Row],[Jours]]&gt;60,Tableau3453[[#This Row],[Montant
de la facture
CHF]],""),"")</f>
        <v/>
      </c>
      <c r="Q242" s="249"/>
      <c r="R242" s="267" t="str">
        <f>Tableau3453[[#This Row],[Solde 
ouverte
fm]]</f>
        <v/>
      </c>
      <c r="S24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3" spans="1:19" hidden="1" outlineLevel="1" x14ac:dyDescent="0.25">
      <c r="A243" s="238">
        <v>240165</v>
      </c>
      <c r="B243" s="239" t="s">
        <v>860</v>
      </c>
      <c r="C243" s="352" t="str">
        <f>IF(Tableau3453[[#This Row],[Date 
du paiement]]="",IF(Tableau3453[[#This Row],[Jours]]&gt;Tableau3453[[#This Row],[Conditions
pmt+]]+5,"oui",""),"")</f>
        <v/>
      </c>
      <c r="D243" s="251" t="s">
        <v>923</v>
      </c>
      <c r="E243" s="240">
        <v>45392</v>
      </c>
      <c r="F243" s="241">
        <v>544.6</v>
      </c>
      <c r="G243" s="242" t="str">
        <f>IF(Tableau3453[[#This Row],[Date 
du paiement]]="",Tableau3453[[#This Row],[Montant
de la facture
CHF]],"")</f>
        <v/>
      </c>
      <c r="H243" s="243" t="s">
        <v>886</v>
      </c>
      <c r="I243" s="245">
        <v>45393</v>
      </c>
      <c r="J243" s="246">
        <v>45441</v>
      </c>
      <c r="K243" s="247" t="s">
        <v>58</v>
      </c>
      <c r="L243" s="248"/>
      <c r="M243" s="248">
        <f>IF(Tableau3453[[#This Row],[Date 
du paiement]]="",$D$4-Tableau3453[[#This Row],[Date
de la facture]],Tableau3453[[#This Row],[Date 
du paiement]]-Tableau3453[[#This Row],[Date
de la facture]])</f>
        <v>49</v>
      </c>
      <c r="N243" s="241" t="str">
        <f>IF(Tableau3453[[#This Row],[Date 
du paiement]]="",IF(Tableau3453[[#This Row],[Jours]]&lt;30,Tableau3453[[#This Row],[Montant
de la facture
CHF]],""),"")</f>
        <v/>
      </c>
      <c r="O243" s="241" t="str">
        <f>IF(Tableau3453[[#This Row],[Date 
du paiement]]="",IF(Tableau3453[[#This Row],[Jours]]&gt;30,IF(Tableau3453[[#This Row],[Jours]]&lt;60,Tableau3453[[#This Row],[Montant
de la facture
CHF]],""),""),"")</f>
        <v/>
      </c>
      <c r="P243" s="241" t="str">
        <f>IF(Tableau3453[[#This Row],[Date 
du paiement]]="",IF(Tableau3453[[#This Row],[Jours]]&gt;60,Tableau3453[[#This Row],[Montant
de la facture
CHF]],""),"")</f>
        <v/>
      </c>
      <c r="Q243" s="249"/>
      <c r="R243" s="250" t="str">
        <f>Tableau3453[[#This Row],[Solde 
ouverte
fm]]</f>
        <v/>
      </c>
      <c r="S2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4" spans="1:19" hidden="1" outlineLevel="1" x14ac:dyDescent="0.25">
      <c r="A244" s="238">
        <v>240362</v>
      </c>
      <c r="B244" s="239" t="s">
        <v>860</v>
      </c>
      <c r="C244" s="352" t="str">
        <f>IF(Tableau3453[[#This Row],[Date 
du paiement]]="",IF(Tableau3453[[#This Row],[Jours]]&gt;Tableau3453[[#This Row],[Conditions
pmt+]]+5,"oui",""),"")</f>
        <v/>
      </c>
      <c r="D244" s="238" t="s">
        <v>891</v>
      </c>
      <c r="E244" s="240">
        <v>45392</v>
      </c>
      <c r="F244" s="241">
        <v>176</v>
      </c>
      <c r="G244" s="242" t="str">
        <f>IF(Tableau3453[[#This Row],[Date 
du paiement]]="",Tableau3453[[#This Row],[Montant
de la facture
CHF]],"")</f>
        <v/>
      </c>
      <c r="H244" s="243"/>
      <c r="I244" s="245">
        <v>45393</v>
      </c>
      <c r="J244" s="246">
        <v>45428</v>
      </c>
      <c r="K244" s="247" t="s">
        <v>58</v>
      </c>
      <c r="L244" s="248"/>
      <c r="M244" s="248">
        <f>IF(Tableau3453[[#This Row],[Date 
du paiement]]="",$D$4-Tableau3453[[#This Row],[Date
de la facture]],Tableau3453[[#This Row],[Date 
du paiement]]-Tableau3453[[#This Row],[Date
de la facture]])</f>
        <v>36</v>
      </c>
      <c r="N244" s="241" t="str">
        <f>IF(Tableau3453[[#This Row],[Date 
du paiement]]="",IF(Tableau3453[[#This Row],[Jours]]&lt;30,Tableau3453[[#This Row],[Montant
de la facture
CHF]],""),"")</f>
        <v/>
      </c>
      <c r="O244" s="241" t="str">
        <f>IF(Tableau3453[[#This Row],[Date 
du paiement]]="",IF(Tableau3453[[#This Row],[Jours]]&gt;30,IF(Tableau3453[[#This Row],[Jours]]&lt;60,Tableau3453[[#This Row],[Montant
de la facture
CHF]],""),""),"")</f>
        <v/>
      </c>
      <c r="P244" s="241" t="str">
        <f>IF(Tableau3453[[#This Row],[Date 
du paiement]]="",IF(Tableau3453[[#This Row],[Jours]]&gt;60,Tableau3453[[#This Row],[Montant
de la facture
CHF]],""),"")</f>
        <v/>
      </c>
      <c r="Q244" s="249"/>
      <c r="R244" s="250" t="str">
        <f>Tableau3453[[#This Row],[Solde 
ouverte
fm]]</f>
        <v/>
      </c>
      <c r="S24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5" spans="1:19" hidden="1" outlineLevel="1" x14ac:dyDescent="0.25">
      <c r="A245" s="238">
        <v>240303</v>
      </c>
      <c r="B245" s="239" t="s">
        <v>860</v>
      </c>
      <c r="C245" s="352" t="str">
        <f>IF(Tableau3453[[#This Row],[Date 
du paiement]]="",IF(Tableau3453[[#This Row],[Jours]]&gt;Tableau3453[[#This Row],[Conditions
pmt+]]+5,"oui",""),"")</f>
        <v/>
      </c>
      <c r="D245" s="238" t="s">
        <v>991</v>
      </c>
      <c r="E245" s="240">
        <v>45392</v>
      </c>
      <c r="F245" s="241">
        <v>1216.1500000000001</v>
      </c>
      <c r="G245" s="242" t="str">
        <f>IF(Tableau3453[[#This Row],[Date 
du paiement]]="",Tableau3453[[#This Row],[Montant
de la facture
CHF]],"")</f>
        <v/>
      </c>
      <c r="H245" s="243"/>
      <c r="I245" s="245">
        <v>45393</v>
      </c>
      <c r="J245" s="246">
        <v>45418</v>
      </c>
      <c r="K245" s="247" t="s">
        <v>58</v>
      </c>
      <c r="L245" s="248"/>
      <c r="M245" s="248">
        <f>IF(Tableau3453[[#This Row],[Date 
du paiement]]="",$D$4-Tableau3453[[#This Row],[Date
de la facture]],Tableau3453[[#This Row],[Date 
du paiement]]-Tableau3453[[#This Row],[Date
de la facture]])</f>
        <v>26</v>
      </c>
      <c r="N245" s="241" t="str">
        <f>IF(Tableau3453[[#This Row],[Date 
du paiement]]="",IF(Tableau3453[[#This Row],[Jours]]&lt;30,Tableau3453[[#This Row],[Montant
de la facture
CHF]],""),"")</f>
        <v/>
      </c>
      <c r="O245" s="241" t="str">
        <f>IF(Tableau3453[[#This Row],[Date 
du paiement]]="",IF(Tableau3453[[#This Row],[Jours]]&gt;30,IF(Tableau3453[[#This Row],[Jours]]&lt;60,Tableau3453[[#This Row],[Montant
de la facture
CHF]],""),""),"")</f>
        <v/>
      </c>
      <c r="P245" s="241" t="str">
        <f>IF(Tableau3453[[#This Row],[Date 
du paiement]]="",IF(Tableau3453[[#This Row],[Jours]]&gt;60,Tableau3453[[#This Row],[Montant
de la facture
CHF]],""),"")</f>
        <v/>
      </c>
      <c r="Q245" s="249"/>
      <c r="R245" s="250" t="str">
        <f>Tableau3453[[#This Row],[Solde 
ouverte
fm]]</f>
        <v/>
      </c>
      <c r="S24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6" spans="1:19" hidden="1" outlineLevel="1" x14ac:dyDescent="0.25">
      <c r="A246" s="238">
        <v>240318</v>
      </c>
      <c r="B246" s="239" t="s">
        <v>860</v>
      </c>
      <c r="C246" s="352" t="str">
        <f>IF(Tableau3453[[#This Row],[Date 
du paiement]]="",IF(Tableau3453[[#This Row],[Jours]]&gt;Tableau3453[[#This Row],[Conditions
pmt+]]+5,"oui",""),"")</f>
        <v/>
      </c>
      <c r="D246" s="238" t="s">
        <v>877</v>
      </c>
      <c r="E246" s="240">
        <v>45392</v>
      </c>
      <c r="F246" s="241">
        <v>225.4</v>
      </c>
      <c r="G246" s="242" t="str">
        <f>IF(Tableau3453[[#This Row],[Date 
du paiement]]="",Tableau3453[[#This Row],[Montant
de la facture
CHF]],"")</f>
        <v/>
      </c>
      <c r="H246" s="243"/>
      <c r="I246" s="245">
        <v>45393</v>
      </c>
      <c r="J246" s="246">
        <v>45495</v>
      </c>
      <c r="K246" s="247" t="s">
        <v>58</v>
      </c>
      <c r="L246" s="248">
        <v>6</v>
      </c>
      <c r="M246" s="248">
        <f>IF(Tableau3453[[#This Row],[Date 
du paiement]]="",$D$4-Tableau3453[[#This Row],[Date
de la facture]],Tableau3453[[#This Row],[Date 
du paiement]]-Tableau3453[[#This Row],[Date
de la facture]])</f>
        <v>103</v>
      </c>
      <c r="N246" s="241" t="str">
        <f>IF(Tableau3453[[#This Row],[Date 
du paiement]]="",IF(Tableau3453[[#This Row],[Jours]]&lt;30,Tableau3453[[#This Row],[Montant
de la facture
CHF]],""),"")</f>
        <v/>
      </c>
      <c r="O246" s="241" t="str">
        <f>IF(Tableau3453[[#This Row],[Date 
du paiement]]="",IF(Tableau3453[[#This Row],[Jours]]&gt;30,IF(Tableau3453[[#This Row],[Jours]]&lt;60,Tableau3453[[#This Row],[Montant
de la facture
CHF]],""),""),"")</f>
        <v/>
      </c>
      <c r="P246" s="241" t="str">
        <f>IF(Tableau3453[[#This Row],[Date 
du paiement]]="",IF(Tableau3453[[#This Row],[Jours]]&gt;60,Tableau3453[[#This Row],[Montant
de la facture
CHF]],""),"")</f>
        <v/>
      </c>
      <c r="Q246" s="249" t="s">
        <v>1226</v>
      </c>
      <c r="R246" s="250" t="str">
        <f>Tableau3453[[#This Row],[Solde 
ouverte
fm]]</f>
        <v/>
      </c>
      <c r="S24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7" spans="1:19" hidden="1" outlineLevel="1" x14ac:dyDescent="0.25">
      <c r="A247" s="238">
        <v>240360</v>
      </c>
      <c r="B247" s="239" t="s">
        <v>857</v>
      </c>
      <c r="C247" s="352" t="str">
        <f>IF(Tableau3453[[#This Row],[Date 
du paiement]]="",IF(Tableau3453[[#This Row],[Jours]]&gt;Tableau3453[[#This Row],[Conditions
pmt+]]+5,"oui",""),"")</f>
        <v/>
      </c>
      <c r="D247" s="238" t="s">
        <v>916</v>
      </c>
      <c r="E247" s="240">
        <v>45393</v>
      </c>
      <c r="F247" s="241">
        <v>2440.9</v>
      </c>
      <c r="G247" s="242" t="str">
        <f>IF(Tableau3453[[#This Row],[Date 
du paiement]]="",Tableau3453[[#This Row],[Montant
de la facture
CHF]],"")</f>
        <v/>
      </c>
      <c r="H247" s="243"/>
      <c r="I247" s="245">
        <v>45393</v>
      </c>
      <c r="J247" s="246">
        <v>45453</v>
      </c>
      <c r="K247" s="247" t="s">
        <v>58</v>
      </c>
      <c r="L247" s="248">
        <v>1</v>
      </c>
      <c r="M247" s="248">
        <f>IF(Tableau3453[[#This Row],[Date 
du paiement]]="",$D$4-Tableau3453[[#This Row],[Date
de la facture]],Tableau3453[[#This Row],[Date 
du paiement]]-Tableau3453[[#This Row],[Date
de la facture]])</f>
        <v>60</v>
      </c>
      <c r="N247" s="241" t="str">
        <f>IF(Tableau3453[[#This Row],[Date 
du paiement]]="",IF(Tableau3453[[#This Row],[Jours]]&lt;30,Tableau3453[[#This Row],[Montant
de la facture
CHF]],""),"")</f>
        <v/>
      </c>
      <c r="O247" s="241" t="str">
        <f>IF(Tableau3453[[#This Row],[Date 
du paiement]]="",IF(Tableau3453[[#This Row],[Jours]]&gt;30,IF(Tableau3453[[#This Row],[Jours]]&lt;60,Tableau3453[[#This Row],[Montant
de la facture
CHF]],""),""),"")</f>
        <v/>
      </c>
      <c r="P247" s="241" t="str">
        <f>IF(Tableau3453[[#This Row],[Date 
du paiement]]="",IF(Tableau3453[[#This Row],[Jours]]&gt;60,Tableau3453[[#This Row],[Montant
de la facture
CHF]],""),"")</f>
        <v/>
      </c>
      <c r="Q247" s="249"/>
      <c r="R247" s="250" t="str">
        <f>Tableau3453[[#This Row],[Solde 
ouverte
fm]]</f>
        <v/>
      </c>
      <c r="S24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8" spans="1:19" hidden="1" outlineLevel="1" x14ac:dyDescent="0.25">
      <c r="A248" s="238">
        <v>240243</v>
      </c>
      <c r="B248" s="239" t="s">
        <v>860</v>
      </c>
      <c r="C248" s="352" t="str">
        <f>IF(Tableau3453[[#This Row],[Date 
du paiement]]="",IF(Tableau3453[[#This Row],[Jours]]&gt;Tableau3453[[#This Row],[Conditions
pmt+]]+5,"oui",""),"")</f>
        <v/>
      </c>
      <c r="D248" s="238" t="s">
        <v>909</v>
      </c>
      <c r="E248" s="240">
        <v>45393</v>
      </c>
      <c r="F248" s="241">
        <v>509.45</v>
      </c>
      <c r="G248" s="242" t="str">
        <f>IF(Tableau3453[[#This Row],[Date 
du paiement]]="",Tableau3453[[#This Row],[Montant
de la facture
CHF]],"")</f>
        <v/>
      </c>
      <c r="H248" s="243"/>
      <c r="I248" s="245">
        <v>45394</v>
      </c>
      <c r="J248" s="246">
        <v>45453</v>
      </c>
      <c r="K248" s="247" t="s">
        <v>58</v>
      </c>
      <c r="L248" s="248">
        <v>2</v>
      </c>
      <c r="M248" s="248">
        <f>IF(Tableau3453[[#This Row],[Date 
du paiement]]="",$D$4-Tableau3453[[#This Row],[Date
de la facture]],Tableau3453[[#This Row],[Date 
du paiement]]-Tableau3453[[#This Row],[Date
de la facture]])</f>
        <v>60</v>
      </c>
      <c r="N248" s="241" t="str">
        <f>IF(Tableau3453[[#This Row],[Date 
du paiement]]="",IF(Tableau3453[[#This Row],[Jours]]&lt;30,Tableau3453[[#This Row],[Montant
de la facture
CHF]],""),"")</f>
        <v/>
      </c>
      <c r="O248" s="241" t="str">
        <f>IF(Tableau3453[[#This Row],[Date 
du paiement]]="",IF(Tableau3453[[#This Row],[Jours]]&gt;30,IF(Tableau3453[[#This Row],[Jours]]&lt;60,Tableau3453[[#This Row],[Montant
de la facture
CHF]],""),""),"")</f>
        <v/>
      </c>
      <c r="P248" s="241" t="str">
        <f>IF(Tableau3453[[#This Row],[Date 
du paiement]]="",IF(Tableau3453[[#This Row],[Jours]]&gt;60,Tableau3453[[#This Row],[Montant
de la facture
CHF]],""),"")</f>
        <v/>
      </c>
      <c r="Q248" s="249"/>
      <c r="R248" s="250" t="str">
        <f>Tableau3453[[#This Row],[Solde 
ouverte
fm]]</f>
        <v/>
      </c>
      <c r="S24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49" spans="1:19" hidden="1" outlineLevel="1" x14ac:dyDescent="0.25">
      <c r="A249" s="238">
        <v>240274</v>
      </c>
      <c r="B249" s="239" t="s">
        <v>860</v>
      </c>
      <c r="C249" s="352" t="str">
        <f>IF(Tableau3453[[#This Row],[Date 
du paiement]]="",IF(Tableau3453[[#This Row],[Jours]]&gt;Tableau3453[[#This Row],[Conditions
pmt+]]+5,"oui",""),"")</f>
        <v/>
      </c>
      <c r="D249" s="238" t="s">
        <v>909</v>
      </c>
      <c r="E249" s="240">
        <v>45393</v>
      </c>
      <c r="F249" s="241">
        <v>1208.45</v>
      </c>
      <c r="G249" s="242" t="str">
        <f>IF(Tableau3453[[#This Row],[Date 
du paiement]]="",Tableau3453[[#This Row],[Montant
de la facture
CHF]],"")</f>
        <v/>
      </c>
      <c r="H249" s="243"/>
      <c r="I249" s="245">
        <v>45394</v>
      </c>
      <c r="J249" s="246">
        <v>45453</v>
      </c>
      <c r="K249" s="247" t="s">
        <v>58</v>
      </c>
      <c r="L249" s="248">
        <v>2</v>
      </c>
      <c r="M249" s="248">
        <f>IF(Tableau3453[[#This Row],[Date 
du paiement]]="",$D$4-Tableau3453[[#This Row],[Date
de la facture]],Tableau3453[[#This Row],[Date 
du paiement]]-Tableau3453[[#This Row],[Date
de la facture]])</f>
        <v>60</v>
      </c>
      <c r="N249" s="241" t="str">
        <f>IF(Tableau3453[[#This Row],[Date 
du paiement]]="",IF(Tableau3453[[#This Row],[Jours]]&lt;30,Tableau3453[[#This Row],[Montant
de la facture
CHF]],""),"")</f>
        <v/>
      </c>
      <c r="O249" s="241" t="str">
        <f>IF(Tableau3453[[#This Row],[Date 
du paiement]]="",IF(Tableau3453[[#This Row],[Jours]]&gt;30,IF(Tableau3453[[#This Row],[Jours]]&lt;60,Tableau3453[[#This Row],[Montant
de la facture
CHF]],""),""),"")</f>
        <v/>
      </c>
      <c r="P249" s="241" t="str">
        <f>IF(Tableau3453[[#This Row],[Date 
du paiement]]="",IF(Tableau3453[[#This Row],[Jours]]&gt;60,Tableau3453[[#This Row],[Montant
de la facture
CHF]],""),"")</f>
        <v/>
      </c>
      <c r="Q249" s="249"/>
      <c r="R249" s="250" t="str">
        <f>Tableau3453[[#This Row],[Solde 
ouverte
fm]]</f>
        <v/>
      </c>
      <c r="S2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0" spans="1:19" hidden="1" outlineLevel="1" x14ac:dyDescent="0.25">
      <c r="A250" s="238">
        <v>240355</v>
      </c>
      <c r="B250" s="239" t="s">
        <v>857</v>
      </c>
      <c r="C250" s="352" t="str">
        <f>IF(Tableau3453[[#This Row],[Date 
du paiement]]="",IF(Tableau3453[[#This Row],[Jours]]&gt;Tableau3453[[#This Row],[Conditions
pmt+]]+5,"oui",""),"")</f>
        <v/>
      </c>
      <c r="D250" s="238" t="s">
        <v>916</v>
      </c>
      <c r="E250" s="240">
        <v>45393</v>
      </c>
      <c r="F250" s="241">
        <v>0</v>
      </c>
      <c r="G250" s="242" t="str">
        <f>IF(Tableau3453[[#This Row],[Date 
du paiement]]="",Tableau3453[[#This Row],[Montant
de la facture
CHF]],"")</f>
        <v/>
      </c>
      <c r="H250" s="243"/>
      <c r="I250" s="245" t="s">
        <v>883</v>
      </c>
      <c r="J250" s="246">
        <v>45393</v>
      </c>
      <c r="K250" s="247" t="s">
        <v>884</v>
      </c>
      <c r="L250" s="248"/>
      <c r="M250" s="248">
        <f>IF(Tableau3453[[#This Row],[Date 
du paiement]]="",$D$4-Tableau3453[[#This Row],[Date
de la facture]],Tableau3453[[#This Row],[Date 
du paiement]]-Tableau3453[[#This Row],[Date
de la facture]])</f>
        <v>0</v>
      </c>
      <c r="N250" s="241" t="str">
        <f>IF(Tableau3453[[#This Row],[Date 
du paiement]]="",IF(Tableau3453[[#This Row],[Jours]]&lt;30,Tableau3453[[#This Row],[Montant
de la facture
CHF]],""),"")</f>
        <v/>
      </c>
      <c r="O250" s="241" t="str">
        <f>IF(Tableau3453[[#This Row],[Date 
du paiement]]="",IF(Tableau3453[[#This Row],[Jours]]&gt;30,IF(Tableau3453[[#This Row],[Jours]]&lt;60,Tableau3453[[#This Row],[Montant
de la facture
CHF]],""),""),"")</f>
        <v/>
      </c>
      <c r="P250" s="241" t="str">
        <f>IF(Tableau3453[[#This Row],[Date 
du paiement]]="",IF(Tableau3453[[#This Row],[Jours]]&gt;60,Tableau3453[[#This Row],[Montant
de la facture
CHF]],""),"")</f>
        <v/>
      </c>
      <c r="Q250" s="249"/>
      <c r="R250" s="267" t="str">
        <f>Tableau3453[[#This Row],[Solde 
ouverte
fm]]</f>
        <v/>
      </c>
      <c r="S25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1" spans="1:19" hidden="1" outlineLevel="1" x14ac:dyDescent="0.25">
      <c r="A251" s="238">
        <v>240275</v>
      </c>
      <c r="B251" s="239" t="s">
        <v>860</v>
      </c>
      <c r="C251" s="352" t="str">
        <f>IF(Tableau3453[[#This Row],[Date 
du paiement]]="",IF(Tableau3453[[#This Row],[Jours]]&gt;Tableau3453[[#This Row],[Conditions
pmt+]]+5,"oui",""),"")</f>
        <v/>
      </c>
      <c r="D251" s="251" t="s">
        <v>885</v>
      </c>
      <c r="E251" s="240">
        <v>45393</v>
      </c>
      <c r="F251" s="241">
        <v>0</v>
      </c>
      <c r="G251" s="242" t="str">
        <f>IF(Tableau3453[[#This Row],[Date 
du paiement]]="",Tableau3453[[#This Row],[Montant
de la facture
CHF]],"")</f>
        <v/>
      </c>
      <c r="H251" s="243"/>
      <c r="I251" s="245" t="s">
        <v>883</v>
      </c>
      <c r="J251" s="246">
        <v>45393</v>
      </c>
      <c r="K251" s="247" t="s">
        <v>884</v>
      </c>
      <c r="L251" s="248"/>
      <c r="M251" s="248">
        <f>IF(Tableau3453[[#This Row],[Date 
du paiement]]="",$D$4-Tableau3453[[#This Row],[Date
de la facture]],Tableau3453[[#This Row],[Date 
du paiement]]-Tableau3453[[#This Row],[Date
de la facture]])</f>
        <v>0</v>
      </c>
      <c r="N251" s="241" t="str">
        <f>IF(Tableau3453[[#This Row],[Date 
du paiement]]="",IF(Tableau3453[[#This Row],[Jours]]&lt;30,Tableau3453[[#This Row],[Montant
de la facture
CHF]],""),"")</f>
        <v/>
      </c>
      <c r="O251" s="241" t="str">
        <f>IF(Tableau3453[[#This Row],[Date 
du paiement]]="",IF(Tableau3453[[#This Row],[Jours]]&gt;30,IF(Tableau3453[[#This Row],[Jours]]&lt;60,Tableau3453[[#This Row],[Montant
de la facture
CHF]],""),""),"")</f>
        <v/>
      </c>
      <c r="P251" s="241" t="str">
        <f>IF(Tableau3453[[#This Row],[Date 
du paiement]]="",IF(Tableau3453[[#This Row],[Jours]]&gt;60,Tableau3453[[#This Row],[Montant
de la facture
CHF]],""),"")</f>
        <v/>
      </c>
      <c r="Q251" s="249"/>
      <c r="R251" s="267" t="str">
        <f>Tableau3453[[#This Row],[Solde 
ouverte
fm]]</f>
        <v/>
      </c>
      <c r="S2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2" spans="1:19" hidden="1" outlineLevel="1" x14ac:dyDescent="0.25">
      <c r="A252" s="238">
        <v>240152</v>
      </c>
      <c r="B252" s="239" t="s">
        <v>857</v>
      </c>
      <c r="C252" s="352" t="str">
        <f>IF(Tableau3453[[#This Row],[Date 
du paiement]]="",IF(Tableau3453[[#This Row],[Jours]]&gt;Tableau3453[[#This Row],[Conditions
pmt+]]+5,"oui",""),"")</f>
        <v/>
      </c>
      <c r="D252" s="238" t="s">
        <v>914</v>
      </c>
      <c r="E252" s="240">
        <v>45394</v>
      </c>
      <c r="F252" s="241">
        <v>1858.6</v>
      </c>
      <c r="G252" s="242" t="str">
        <f>IF(Tableau3453[[#This Row],[Date 
du paiement]]="",Tableau3453[[#This Row],[Montant
de la facture
CHF]],"")</f>
        <v/>
      </c>
      <c r="H252" s="243"/>
      <c r="I252" s="245">
        <v>45394</v>
      </c>
      <c r="J252" s="246">
        <v>45448</v>
      </c>
      <c r="K252" s="247" t="s">
        <v>58</v>
      </c>
      <c r="L252" s="248"/>
      <c r="M252" s="248">
        <f>IF(Tableau3453[[#This Row],[Date 
du paiement]]="",$D$4-Tableau3453[[#This Row],[Date
de la facture]],Tableau3453[[#This Row],[Date 
du paiement]]-Tableau3453[[#This Row],[Date
de la facture]])</f>
        <v>54</v>
      </c>
      <c r="N252" s="241" t="str">
        <f>IF(Tableau3453[[#This Row],[Date 
du paiement]]="",IF(Tableau3453[[#This Row],[Jours]]&lt;30,Tableau3453[[#This Row],[Montant
de la facture
CHF]],""),"")</f>
        <v/>
      </c>
      <c r="O252" s="241" t="str">
        <f>IF(Tableau3453[[#This Row],[Date 
du paiement]]="",IF(Tableau3453[[#This Row],[Jours]]&gt;30,IF(Tableau3453[[#This Row],[Jours]]&lt;60,Tableau3453[[#This Row],[Montant
de la facture
CHF]],""),""),"")</f>
        <v/>
      </c>
      <c r="P252" s="241" t="str">
        <f>IF(Tableau3453[[#This Row],[Date 
du paiement]]="",IF(Tableau3453[[#This Row],[Jours]]&gt;60,Tableau3453[[#This Row],[Montant
de la facture
CHF]],""),"")</f>
        <v/>
      </c>
      <c r="Q252" s="249"/>
      <c r="R252" s="250" t="str">
        <f>Tableau3453[[#This Row],[Solde 
ouverte
fm]]</f>
        <v/>
      </c>
      <c r="S25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3" spans="1:19" hidden="1" outlineLevel="1" x14ac:dyDescent="0.25">
      <c r="A253" s="238">
        <v>240225</v>
      </c>
      <c r="B253" s="239" t="s">
        <v>860</v>
      </c>
      <c r="C253" s="352" t="str">
        <f>IF(Tableau3453[[#This Row],[Date 
du paiement]]="",IF(Tableau3453[[#This Row],[Jours]]&gt;Tableau3453[[#This Row],[Conditions
pmt+]]+5,"oui",""),"")</f>
        <v/>
      </c>
      <c r="D253" s="238" t="s">
        <v>908</v>
      </c>
      <c r="E253" s="240">
        <v>45394</v>
      </c>
      <c r="F253" s="241">
        <v>1468</v>
      </c>
      <c r="G253" s="242" t="str">
        <f>IF(Tableau3453[[#This Row],[Date 
du paiement]]="",Tableau3453[[#This Row],[Montant
de la facture
CHF]],"")</f>
        <v/>
      </c>
      <c r="H253" s="243"/>
      <c r="I253" s="245">
        <v>45394</v>
      </c>
      <c r="J253" s="246">
        <v>45435</v>
      </c>
      <c r="K253" s="247" t="s">
        <v>58</v>
      </c>
      <c r="L253" s="248"/>
      <c r="M253" s="248">
        <f>IF(Tableau3453[[#This Row],[Date 
du paiement]]="",$D$4-Tableau3453[[#This Row],[Date
de la facture]],Tableau3453[[#This Row],[Date 
du paiement]]-Tableau3453[[#This Row],[Date
de la facture]])</f>
        <v>41</v>
      </c>
      <c r="N253" s="241" t="str">
        <f>IF(Tableau3453[[#This Row],[Date 
du paiement]]="",IF(Tableau3453[[#This Row],[Jours]]&lt;30,Tableau3453[[#This Row],[Montant
de la facture
CHF]],""),"")</f>
        <v/>
      </c>
      <c r="O253" s="241" t="str">
        <f>IF(Tableau3453[[#This Row],[Date 
du paiement]]="",IF(Tableau3453[[#This Row],[Jours]]&gt;30,IF(Tableau3453[[#This Row],[Jours]]&lt;60,Tableau3453[[#This Row],[Montant
de la facture
CHF]],""),""),"")</f>
        <v/>
      </c>
      <c r="P253" s="241" t="str">
        <f>IF(Tableau3453[[#This Row],[Date 
du paiement]]="",IF(Tableau3453[[#This Row],[Jours]]&gt;60,Tableau3453[[#This Row],[Montant
de la facture
CHF]],""),"")</f>
        <v/>
      </c>
      <c r="Q253" s="249"/>
      <c r="R253" s="250" t="str">
        <f>Tableau3453[[#This Row],[Solde 
ouverte
fm]]</f>
        <v/>
      </c>
      <c r="S25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4" spans="1:19" hidden="1" outlineLevel="1" x14ac:dyDescent="0.25">
      <c r="A254" s="238">
        <v>240369</v>
      </c>
      <c r="B254" s="239" t="s">
        <v>860</v>
      </c>
      <c r="C254" s="352" t="str">
        <f>IF(Tableau3453[[#This Row],[Date 
du paiement]]="",IF(Tableau3453[[#This Row],[Jours]]&gt;Tableau3453[[#This Row],[Conditions
pmt+]]+5,"oui",""),"")</f>
        <v/>
      </c>
      <c r="D254" s="238" t="s">
        <v>891</v>
      </c>
      <c r="E254" s="240">
        <v>45394</v>
      </c>
      <c r="F254" s="241">
        <v>170.2</v>
      </c>
      <c r="G254" s="242" t="str">
        <f>IF(Tableau3453[[#This Row],[Date 
du paiement]]="",Tableau3453[[#This Row],[Montant
de la facture
CHF]],"")</f>
        <v/>
      </c>
      <c r="H254" s="243"/>
      <c r="I254" s="245">
        <v>45394</v>
      </c>
      <c r="J254" s="246">
        <v>45428</v>
      </c>
      <c r="K254" s="247" t="s">
        <v>58</v>
      </c>
      <c r="L254" s="248"/>
      <c r="M254" s="248">
        <f>IF(Tableau3453[[#This Row],[Date 
du paiement]]="",$D$4-Tableau3453[[#This Row],[Date
de la facture]],Tableau3453[[#This Row],[Date 
du paiement]]-Tableau3453[[#This Row],[Date
de la facture]])</f>
        <v>34</v>
      </c>
      <c r="N254" s="241" t="str">
        <f>IF(Tableau3453[[#This Row],[Date 
du paiement]]="",IF(Tableau3453[[#This Row],[Jours]]&lt;30,Tableau3453[[#This Row],[Montant
de la facture
CHF]],""),"")</f>
        <v/>
      </c>
      <c r="O254" s="241" t="str">
        <f>IF(Tableau3453[[#This Row],[Date 
du paiement]]="",IF(Tableau3453[[#This Row],[Jours]]&gt;30,IF(Tableau3453[[#This Row],[Jours]]&lt;60,Tableau3453[[#This Row],[Montant
de la facture
CHF]],""),""),"")</f>
        <v/>
      </c>
      <c r="P254" s="241" t="str">
        <f>IF(Tableau3453[[#This Row],[Date 
du paiement]]="",IF(Tableau3453[[#This Row],[Jours]]&gt;60,Tableau3453[[#This Row],[Montant
de la facture
CHF]],""),"")</f>
        <v/>
      </c>
      <c r="Q254" s="249"/>
      <c r="R254" s="250" t="str">
        <f>Tableau3453[[#This Row],[Solde 
ouverte
fm]]</f>
        <v/>
      </c>
      <c r="S2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5" spans="1:19" hidden="1" outlineLevel="1" x14ac:dyDescent="0.25">
      <c r="A255" s="238">
        <v>240367</v>
      </c>
      <c r="B255" s="239" t="s">
        <v>860</v>
      </c>
      <c r="C255" s="352" t="str">
        <f>IF(Tableau3453[[#This Row],[Date 
du paiement]]="",IF(Tableau3453[[#This Row],[Jours]]&gt;Tableau3453[[#This Row],[Conditions
pmt+]]+5,"oui",""),"")</f>
        <v/>
      </c>
      <c r="D255" s="238" t="s">
        <v>880</v>
      </c>
      <c r="E255" s="240">
        <v>45394</v>
      </c>
      <c r="F255" s="241">
        <v>3232.2</v>
      </c>
      <c r="G255" s="242" t="str">
        <f>IF(Tableau3453[[#This Row],[Date 
du paiement]]="",Tableau3453[[#This Row],[Montant
de la facture
CHF]],"")</f>
        <v/>
      </c>
      <c r="H255" s="243"/>
      <c r="I255" s="245">
        <v>45394</v>
      </c>
      <c r="J255" s="246">
        <v>45420</v>
      </c>
      <c r="K255" s="247" t="s">
        <v>58</v>
      </c>
      <c r="L255" s="248"/>
      <c r="M255" s="248">
        <f>IF(Tableau3453[[#This Row],[Date 
du paiement]]="",$D$4-Tableau3453[[#This Row],[Date
de la facture]],Tableau3453[[#This Row],[Date 
du paiement]]-Tableau3453[[#This Row],[Date
de la facture]])</f>
        <v>26</v>
      </c>
      <c r="N255" s="241" t="str">
        <f>IF(Tableau3453[[#This Row],[Date 
du paiement]]="",IF(Tableau3453[[#This Row],[Jours]]&lt;30,Tableau3453[[#This Row],[Montant
de la facture
CHF]],""),"")</f>
        <v/>
      </c>
      <c r="O255" s="241" t="str">
        <f>IF(Tableau3453[[#This Row],[Date 
du paiement]]="",IF(Tableau3453[[#This Row],[Jours]]&gt;30,IF(Tableau3453[[#This Row],[Jours]]&lt;60,Tableau3453[[#This Row],[Montant
de la facture
CHF]],""),""),"")</f>
        <v/>
      </c>
      <c r="P255" s="241" t="str">
        <f>IF(Tableau3453[[#This Row],[Date 
du paiement]]="",IF(Tableau3453[[#This Row],[Jours]]&gt;60,Tableau3453[[#This Row],[Montant
de la facture
CHF]],""),"")</f>
        <v/>
      </c>
      <c r="Q255" s="249"/>
      <c r="R255" s="250" t="str">
        <f>Tableau3453[[#This Row],[Solde 
ouverte
fm]]</f>
        <v/>
      </c>
      <c r="S2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6" spans="1:19" hidden="1" outlineLevel="1" x14ac:dyDescent="0.25">
      <c r="A256" s="238">
        <v>240368</v>
      </c>
      <c r="B256" s="239" t="s">
        <v>860</v>
      </c>
      <c r="C256" s="352" t="str">
        <f>IF(Tableau3453[[#This Row],[Date 
du paiement]]="",IF(Tableau3453[[#This Row],[Jours]]&gt;Tableau3453[[#This Row],[Conditions
pmt+]]+5,"oui",""),"")</f>
        <v/>
      </c>
      <c r="D256" s="238" t="s">
        <v>995</v>
      </c>
      <c r="E256" s="240">
        <v>45397</v>
      </c>
      <c r="F256" s="241">
        <v>2525.25</v>
      </c>
      <c r="G256" s="242" t="str">
        <f>IF(Tableau3453[[#This Row],[Date 
du paiement]]="",Tableau3453[[#This Row],[Montant
de la facture
CHF]],"")</f>
        <v/>
      </c>
      <c r="H256" s="243" t="s">
        <v>996</v>
      </c>
      <c r="I256" s="245">
        <v>45397</v>
      </c>
      <c r="J256" s="246">
        <v>45460</v>
      </c>
      <c r="K256" s="247" t="s">
        <v>58</v>
      </c>
      <c r="L256" s="248">
        <v>3</v>
      </c>
      <c r="M256" s="248">
        <f>IF(Tableau3453[[#This Row],[Date 
du paiement]]="",$D$4-Tableau3453[[#This Row],[Date
de la facture]],Tableau3453[[#This Row],[Date 
du paiement]]-Tableau3453[[#This Row],[Date
de la facture]])</f>
        <v>63</v>
      </c>
      <c r="N256" s="241" t="str">
        <f>IF(Tableau3453[[#This Row],[Date 
du paiement]]="",IF(Tableau3453[[#This Row],[Jours]]&lt;30,Tableau3453[[#This Row],[Montant
de la facture
CHF]],""),"")</f>
        <v/>
      </c>
      <c r="O256" s="241" t="str">
        <f>IF(Tableau3453[[#This Row],[Date 
du paiement]]="",IF(Tableau3453[[#This Row],[Jours]]&gt;30,IF(Tableau3453[[#This Row],[Jours]]&lt;60,Tableau3453[[#This Row],[Montant
de la facture
CHF]],""),""),"")</f>
        <v/>
      </c>
      <c r="P256" s="241" t="str">
        <f>IF(Tableau3453[[#This Row],[Date 
du paiement]]="",IF(Tableau3453[[#This Row],[Jours]]&gt;60,Tableau3453[[#This Row],[Montant
de la facture
CHF]],""),"")</f>
        <v/>
      </c>
      <c r="Q256" s="249" t="s">
        <v>997</v>
      </c>
      <c r="R256" s="250" t="str">
        <f>Tableau3453[[#This Row],[Solde 
ouverte
fm]]</f>
        <v/>
      </c>
      <c r="S25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7" spans="1:19" hidden="1" outlineLevel="1" x14ac:dyDescent="0.25">
      <c r="A257" s="238">
        <v>240300</v>
      </c>
      <c r="B257" s="239" t="s">
        <v>860</v>
      </c>
      <c r="C257" s="352" t="str">
        <f>IF(Tableau3453[[#This Row],[Date 
du paiement]]="",IF(Tableau3453[[#This Row],[Jours]]&gt;Tableau3453[[#This Row],[Conditions
pmt+]]+5,"oui",""),"")</f>
        <v/>
      </c>
      <c r="D257" s="238" t="s">
        <v>993</v>
      </c>
      <c r="E257" s="240">
        <v>45397</v>
      </c>
      <c r="F257" s="241">
        <v>478.65</v>
      </c>
      <c r="G257" s="242" t="str">
        <f>IF(Tableau3453[[#This Row],[Date 
du paiement]]="",Tableau3453[[#This Row],[Montant
de la facture
CHF]],"")</f>
        <v/>
      </c>
      <c r="H257" s="243" t="s">
        <v>994</v>
      </c>
      <c r="I257" s="245">
        <v>45397</v>
      </c>
      <c r="J257" s="246">
        <v>45450</v>
      </c>
      <c r="K257" s="247" t="s">
        <v>58</v>
      </c>
      <c r="L257" s="248">
        <v>1</v>
      </c>
      <c r="M257" s="248">
        <f>IF(Tableau3453[[#This Row],[Date 
du paiement]]="",$D$4-Tableau3453[[#This Row],[Date
de la facture]],Tableau3453[[#This Row],[Date 
du paiement]]-Tableau3453[[#This Row],[Date
de la facture]])</f>
        <v>53</v>
      </c>
      <c r="N257" s="241" t="str">
        <f>IF(Tableau3453[[#This Row],[Date 
du paiement]]="",IF(Tableau3453[[#This Row],[Jours]]&lt;30,Tableau3453[[#This Row],[Montant
de la facture
CHF]],""),"")</f>
        <v/>
      </c>
      <c r="O257" s="241" t="str">
        <f>IF(Tableau3453[[#This Row],[Date 
du paiement]]="",IF(Tableau3453[[#This Row],[Jours]]&gt;30,IF(Tableau3453[[#This Row],[Jours]]&lt;60,Tableau3453[[#This Row],[Montant
de la facture
CHF]],""),""),"")</f>
        <v/>
      </c>
      <c r="P257" s="241" t="str">
        <f>IF(Tableau3453[[#This Row],[Date 
du paiement]]="",IF(Tableau3453[[#This Row],[Jours]]&gt;60,Tableau3453[[#This Row],[Montant
de la facture
CHF]],""),"")</f>
        <v/>
      </c>
      <c r="Q257" s="249"/>
      <c r="R257" s="250" t="str">
        <f>Tableau3453[[#This Row],[Solde 
ouverte
fm]]</f>
        <v/>
      </c>
      <c r="S25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8" spans="1:19" hidden="1" outlineLevel="1" x14ac:dyDescent="0.25">
      <c r="A258" s="238">
        <v>240380</v>
      </c>
      <c r="B258" s="239" t="s">
        <v>860</v>
      </c>
      <c r="C258" s="352" t="str">
        <f>IF(Tableau3453[[#This Row],[Date 
du paiement]]="",IF(Tableau3453[[#This Row],[Jours]]&gt;Tableau3453[[#This Row],[Conditions
pmt+]]+5,"oui",""),"")</f>
        <v/>
      </c>
      <c r="D258" s="238" t="s">
        <v>995</v>
      </c>
      <c r="E258" s="240">
        <v>45398</v>
      </c>
      <c r="F258" s="241">
        <v>425.85</v>
      </c>
      <c r="G258" s="242" t="str">
        <f>IF(Tableau3453[[#This Row],[Date 
du paiement]]="",Tableau3453[[#This Row],[Montant
de la facture
CHF]],"")</f>
        <v/>
      </c>
      <c r="H258" s="243"/>
      <c r="I258" s="245">
        <v>45398</v>
      </c>
      <c r="J258" s="246">
        <v>45455</v>
      </c>
      <c r="K258" s="247" t="s">
        <v>58</v>
      </c>
      <c r="L258" s="248">
        <v>3</v>
      </c>
      <c r="M258" s="248">
        <f>IF(Tableau3453[[#This Row],[Date 
du paiement]]="",$D$4-Tableau3453[[#This Row],[Date
de la facture]],Tableau3453[[#This Row],[Date 
du paiement]]-Tableau3453[[#This Row],[Date
de la facture]])</f>
        <v>57</v>
      </c>
      <c r="N258" s="241" t="str">
        <f>IF(Tableau3453[[#This Row],[Date 
du paiement]]="",IF(Tableau3453[[#This Row],[Jours]]&lt;30,Tableau3453[[#This Row],[Montant
de la facture
CHF]],""),"")</f>
        <v/>
      </c>
      <c r="O258" s="241" t="str">
        <f>IF(Tableau3453[[#This Row],[Date 
du paiement]]="",IF(Tableau3453[[#This Row],[Jours]]&gt;30,IF(Tableau3453[[#This Row],[Jours]]&lt;60,Tableau3453[[#This Row],[Montant
de la facture
CHF]],""),""),"")</f>
        <v/>
      </c>
      <c r="P258" s="241" t="str">
        <f>IF(Tableau3453[[#This Row],[Date 
du paiement]]="",IF(Tableau3453[[#This Row],[Jours]]&gt;60,Tableau3453[[#This Row],[Montant
de la facture
CHF]],""),"")</f>
        <v/>
      </c>
      <c r="Q258" s="249" t="s">
        <v>997</v>
      </c>
      <c r="R258" s="250" t="str">
        <f>Tableau3453[[#This Row],[Solde 
ouverte
fm]]</f>
        <v/>
      </c>
      <c r="S25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59" spans="1:19" hidden="1" outlineLevel="1" x14ac:dyDescent="0.25">
      <c r="A259" s="238">
        <v>240268</v>
      </c>
      <c r="B259" s="239" t="s">
        <v>860</v>
      </c>
      <c r="C259" s="352" t="str">
        <f>IF(Tableau3453[[#This Row],[Date 
du paiement]]="",IF(Tableau3453[[#This Row],[Jours]]&gt;Tableau3453[[#This Row],[Conditions
pmt+]]+5,"oui",""),"")</f>
        <v/>
      </c>
      <c r="D259" s="238" t="s">
        <v>919</v>
      </c>
      <c r="E259" s="240">
        <v>45398</v>
      </c>
      <c r="F259" s="241">
        <v>289</v>
      </c>
      <c r="G259" s="242" t="str">
        <f>IF(Tableau3453[[#This Row],[Date 
du paiement]]="",Tableau3453[[#This Row],[Montant
de la facture
CHF]],"")</f>
        <v/>
      </c>
      <c r="H259" s="243"/>
      <c r="I259" s="245">
        <v>45400</v>
      </c>
      <c r="J259" s="246">
        <v>45450</v>
      </c>
      <c r="K259" s="247" t="s">
        <v>58</v>
      </c>
      <c r="L259" s="248">
        <v>2</v>
      </c>
      <c r="M259" s="248">
        <f>IF(Tableau3453[[#This Row],[Date 
du paiement]]="",$D$4-Tableau3453[[#This Row],[Date
de la facture]],Tableau3453[[#This Row],[Date 
du paiement]]-Tableau3453[[#This Row],[Date
de la facture]])</f>
        <v>52</v>
      </c>
      <c r="N259" s="241" t="str">
        <f>IF(Tableau3453[[#This Row],[Date 
du paiement]]="",IF(Tableau3453[[#This Row],[Jours]]&lt;30,Tableau3453[[#This Row],[Montant
de la facture
CHF]],""),"")</f>
        <v/>
      </c>
      <c r="O259" s="241" t="str">
        <f>IF(Tableau3453[[#This Row],[Date 
du paiement]]="",IF(Tableau3453[[#This Row],[Jours]]&gt;30,IF(Tableau3453[[#This Row],[Jours]]&lt;60,Tableau3453[[#This Row],[Montant
de la facture
CHF]],""),""),"")</f>
        <v/>
      </c>
      <c r="P259" s="241" t="str">
        <f>IF(Tableau3453[[#This Row],[Date 
du paiement]]="",IF(Tableau3453[[#This Row],[Jours]]&gt;60,Tableau3453[[#This Row],[Montant
de la facture
CHF]],""),"")</f>
        <v/>
      </c>
      <c r="Q259" s="249"/>
      <c r="R259" s="250" t="str">
        <f>Tableau3453[[#This Row],[Solde 
ouverte
fm]]</f>
        <v/>
      </c>
      <c r="S2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0" spans="1:19" hidden="1" outlineLevel="1" x14ac:dyDescent="0.25">
      <c r="A260" s="238">
        <v>240379</v>
      </c>
      <c r="B260" s="239" t="s">
        <v>860</v>
      </c>
      <c r="C260" s="352" t="str">
        <f>IF(Tableau3453[[#This Row],[Date 
du paiement]]="",IF(Tableau3453[[#This Row],[Jours]]&gt;Tableau3453[[#This Row],[Conditions
pmt+]]+5,"oui",""),"")</f>
        <v/>
      </c>
      <c r="D260" s="238" t="s">
        <v>891</v>
      </c>
      <c r="E260" s="240">
        <v>45398</v>
      </c>
      <c r="F260" s="241">
        <v>763.6</v>
      </c>
      <c r="G260" s="242" t="str">
        <f>IF(Tableau3453[[#This Row],[Date 
du paiement]]="",Tableau3453[[#This Row],[Montant
de la facture
CHF]],"")</f>
        <v/>
      </c>
      <c r="H260" s="243"/>
      <c r="I260" s="245">
        <v>45400</v>
      </c>
      <c r="J260" s="246">
        <v>45448</v>
      </c>
      <c r="K260" s="247" t="s">
        <v>58</v>
      </c>
      <c r="L260" s="248">
        <v>2</v>
      </c>
      <c r="M260" s="248">
        <f>IF(Tableau3453[[#This Row],[Date 
du paiement]]="",$D$4-Tableau3453[[#This Row],[Date
de la facture]],Tableau3453[[#This Row],[Date 
du paiement]]-Tableau3453[[#This Row],[Date
de la facture]])</f>
        <v>50</v>
      </c>
      <c r="N260" s="241" t="str">
        <f>IF(Tableau3453[[#This Row],[Date 
du paiement]]="",IF(Tableau3453[[#This Row],[Jours]]&lt;30,Tableau3453[[#This Row],[Montant
de la facture
CHF]],""),"")</f>
        <v/>
      </c>
      <c r="O260" s="241" t="str">
        <f>IF(Tableau3453[[#This Row],[Date 
du paiement]]="",IF(Tableau3453[[#This Row],[Jours]]&gt;30,IF(Tableau3453[[#This Row],[Jours]]&lt;60,Tableau3453[[#This Row],[Montant
de la facture
CHF]],""),""),"")</f>
        <v/>
      </c>
      <c r="P260" s="241" t="str">
        <f>IF(Tableau3453[[#This Row],[Date 
du paiement]]="",IF(Tableau3453[[#This Row],[Jours]]&gt;60,Tableau3453[[#This Row],[Montant
de la facture
CHF]],""),"")</f>
        <v/>
      </c>
      <c r="Q260" s="249"/>
      <c r="R260" s="250" t="str">
        <f>Tableau3453[[#This Row],[Solde 
ouverte
fm]]</f>
        <v/>
      </c>
      <c r="S26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1" spans="1:19" hidden="1" outlineLevel="1" x14ac:dyDescent="0.25">
      <c r="A261" s="238">
        <v>240202</v>
      </c>
      <c r="B261" s="239" t="s">
        <v>860</v>
      </c>
      <c r="C261" s="352" t="str">
        <f>IF(Tableau3453[[#This Row],[Date 
du paiement]]="",IF(Tableau3453[[#This Row],[Jours]]&gt;Tableau3453[[#This Row],[Conditions
pmt+]]+5,"oui",""),"")</f>
        <v/>
      </c>
      <c r="D261" s="238" t="s">
        <v>902</v>
      </c>
      <c r="E261" s="240">
        <v>45398</v>
      </c>
      <c r="F261" s="241">
        <v>11964.7</v>
      </c>
      <c r="G261" s="242" t="str">
        <f>IF(Tableau3453[[#This Row],[Date 
du paiement]]="",Tableau3453[[#This Row],[Montant
de la facture
CHF]],"")</f>
        <v/>
      </c>
      <c r="H261" s="243" t="s">
        <v>998</v>
      </c>
      <c r="I261" s="245">
        <v>45400</v>
      </c>
      <c r="J261" s="246">
        <v>45443</v>
      </c>
      <c r="K261" s="247" t="s">
        <v>58</v>
      </c>
      <c r="L261" s="248"/>
      <c r="M261" s="248">
        <f>IF(Tableau3453[[#This Row],[Date 
du paiement]]="",$D$4-Tableau3453[[#This Row],[Date
de la facture]],Tableau3453[[#This Row],[Date 
du paiement]]-Tableau3453[[#This Row],[Date
de la facture]])</f>
        <v>45</v>
      </c>
      <c r="N261" s="241" t="str">
        <f>IF(Tableau3453[[#This Row],[Date 
du paiement]]="",IF(Tableau3453[[#This Row],[Jours]]&lt;30,Tableau3453[[#This Row],[Montant
de la facture
CHF]],""),"")</f>
        <v/>
      </c>
      <c r="O261" s="241" t="str">
        <f>IF(Tableau3453[[#This Row],[Date 
du paiement]]="",IF(Tableau3453[[#This Row],[Jours]]&gt;30,IF(Tableau3453[[#This Row],[Jours]]&lt;60,Tableau3453[[#This Row],[Montant
de la facture
CHF]],""),""),"")</f>
        <v/>
      </c>
      <c r="P261" s="241" t="str">
        <f>IF(Tableau3453[[#This Row],[Date 
du paiement]]="",IF(Tableau3453[[#This Row],[Jours]]&gt;60,Tableau3453[[#This Row],[Montant
de la facture
CHF]],""),"")</f>
        <v/>
      </c>
      <c r="Q261" s="249"/>
      <c r="R261" s="250" t="str">
        <f>Tableau3453[[#This Row],[Solde 
ouverte
fm]]</f>
        <v/>
      </c>
      <c r="S26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2" spans="1:19" hidden="1" outlineLevel="1" x14ac:dyDescent="0.25">
      <c r="A262" s="238">
        <v>240373</v>
      </c>
      <c r="B262" s="239" t="s">
        <v>860</v>
      </c>
      <c r="C262" s="352" t="str">
        <f>IF(Tableau3453[[#This Row],[Date 
du paiement]]="",IF(Tableau3453[[#This Row],[Jours]]&gt;Tableau3453[[#This Row],[Conditions
pmt+]]+5,"oui",""),"")</f>
        <v/>
      </c>
      <c r="D262" s="238" t="s">
        <v>873</v>
      </c>
      <c r="E262" s="240">
        <v>45398</v>
      </c>
      <c r="F262" s="241">
        <v>3362.85</v>
      </c>
      <c r="G262" s="242" t="str">
        <f>IF(Tableau3453[[#This Row],[Date 
du paiement]]="",Tableau3453[[#This Row],[Montant
de la facture
CHF]],"")</f>
        <v/>
      </c>
      <c r="H262" s="243"/>
      <c r="I262" s="245">
        <v>45400</v>
      </c>
      <c r="J262" s="246">
        <v>45434</v>
      </c>
      <c r="K262" s="247" t="s">
        <v>58</v>
      </c>
      <c r="L262" s="248"/>
      <c r="M262" s="248">
        <f>IF(Tableau3453[[#This Row],[Date 
du paiement]]="",$D$4-Tableau3453[[#This Row],[Date
de la facture]],Tableau3453[[#This Row],[Date 
du paiement]]-Tableau3453[[#This Row],[Date
de la facture]])</f>
        <v>36</v>
      </c>
      <c r="N262" s="241" t="str">
        <f>IF(Tableau3453[[#This Row],[Date 
du paiement]]="",IF(Tableau3453[[#This Row],[Jours]]&lt;30,Tableau3453[[#This Row],[Montant
de la facture
CHF]],""),"")</f>
        <v/>
      </c>
      <c r="O262" s="241" t="str">
        <f>IF(Tableau3453[[#This Row],[Date 
du paiement]]="",IF(Tableau3453[[#This Row],[Jours]]&gt;30,IF(Tableau3453[[#This Row],[Jours]]&lt;60,Tableau3453[[#This Row],[Montant
de la facture
CHF]],""),""),"")</f>
        <v/>
      </c>
      <c r="P262" s="241" t="str">
        <f>IF(Tableau3453[[#This Row],[Date 
du paiement]]="",IF(Tableau3453[[#This Row],[Jours]]&gt;60,Tableau3453[[#This Row],[Montant
de la facture
CHF]],""),"")</f>
        <v/>
      </c>
      <c r="Q262" s="249"/>
      <c r="R262" s="250" t="str">
        <f>Tableau3453[[#This Row],[Solde 
ouverte
fm]]</f>
        <v/>
      </c>
      <c r="S26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3" spans="1:19" hidden="1" outlineLevel="1" x14ac:dyDescent="0.25">
      <c r="A263" s="238">
        <v>240277</v>
      </c>
      <c r="B263" s="239" t="s">
        <v>860</v>
      </c>
      <c r="C263" s="352" t="str">
        <f>IF(Tableau3453[[#This Row],[Date 
du paiement]]="",IF(Tableau3453[[#This Row],[Jours]]&gt;Tableau3453[[#This Row],[Conditions
pmt+]]+5,"oui",""),"")</f>
        <v/>
      </c>
      <c r="D263" s="238" t="s">
        <v>873</v>
      </c>
      <c r="E263" s="240">
        <v>45398</v>
      </c>
      <c r="F263" s="241">
        <v>772.9</v>
      </c>
      <c r="G263" s="242" t="str">
        <f>IF(Tableau3453[[#This Row],[Date 
du paiement]]="",Tableau3453[[#This Row],[Montant
de la facture
CHF]],"")</f>
        <v/>
      </c>
      <c r="H263" s="243"/>
      <c r="I263" s="245">
        <v>45400</v>
      </c>
      <c r="J263" s="246">
        <v>45434</v>
      </c>
      <c r="K263" s="247" t="s">
        <v>58</v>
      </c>
      <c r="L263" s="248"/>
      <c r="M263" s="248">
        <f>IF(Tableau3453[[#This Row],[Date 
du paiement]]="",$D$4-Tableau3453[[#This Row],[Date
de la facture]],Tableau3453[[#This Row],[Date 
du paiement]]-Tableau3453[[#This Row],[Date
de la facture]])</f>
        <v>36</v>
      </c>
      <c r="N263" s="241" t="str">
        <f>IF(Tableau3453[[#This Row],[Date 
du paiement]]="",IF(Tableau3453[[#This Row],[Jours]]&lt;30,Tableau3453[[#This Row],[Montant
de la facture
CHF]],""),"")</f>
        <v/>
      </c>
      <c r="O263" s="241" t="str">
        <f>IF(Tableau3453[[#This Row],[Date 
du paiement]]="",IF(Tableau3453[[#This Row],[Jours]]&gt;30,IF(Tableau3453[[#This Row],[Jours]]&lt;60,Tableau3453[[#This Row],[Montant
de la facture
CHF]],""),""),"")</f>
        <v/>
      </c>
      <c r="P263" s="241" t="str">
        <f>IF(Tableau3453[[#This Row],[Date 
du paiement]]="",IF(Tableau3453[[#This Row],[Jours]]&gt;60,Tableau3453[[#This Row],[Montant
de la facture
CHF]],""),"")</f>
        <v/>
      </c>
      <c r="Q263" s="249"/>
      <c r="R263" s="250" t="str">
        <f>Tableau3453[[#This Row],[Solde 
ouverte
fm]]</f>
        <v/>
      </c>
      <c r="S2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4" spans="1:19" hidden="1" outlineLevel="1" x14ac:dyDescent="0.25">
      <c r="A264" s="238">
        <v>240372</v>
      </c>
      <c r="B264" s="239" t="s">
        <v>860</v>
      </c>
      <c r="C264" s="352" t="str">
        <f>IF(Tableau3453[[#This Row],[Date 
du paiement]]="",IF(Tableau3453[[#This Row],[Jours]]&gt;Tableau3453[[#This Row],[Conditions
pmt+]]+5,"oui",""),"")</f>
        <v/>
      </c>
      <c r="D264" s="238" t="s">
        <v>999</v>
      </c>
      <c r="E264" s="240">
        <v>45398</v>
      </c>
      <c r="F264" s="241">
        <v>897.65</v>
      </c>
      <c r="G264" s="242" t="str">
        <f>IF(Tableau3453[[#This Row],[Date 
du paiement]]="",Tableau3453[[#This Row],[Montant
de la facture
CHF]],"")</f>
        <v/>
      </c>
      <c r="H264" s="243"/>
      <c r="I264" s="245">
        <v>45400</v>
      </c>
      <c r="J264" s="246">
        <v>45429</v>
      </c>
      <c r="K264" s="247" t="s">
        <v>58</v>
      </c>
      <c r="L264" s="248"/>
      <c r="M264" s="248">
        <f>IF(Tableau3453[[#This Row],[Date 
du paiement]]="",$D$4-Tableau3453[[#This Row],[Date
de la facture]],Tableau3453[[#This Row],[Date 
du paiement]]-Tableau3453[[#This Row],[Date
de la facture]])</f>
        <v>31</v>
      </c>
      <c r="N264" s="241" t="str">
        <f>IF(Tableau3453[[#This Row],[Date 
du paiement]]="",IF(Tableau3453[[#This Row],[Jours]]&lt;30,Tableau3453[[#This Row],[Montant
de la facture
CHF]],""),"")</f>
        <v/>
      </c>
      <c r="O264" s="241" t="str">
        <f>IF(Tableau3453[[#This Row],[Date 
du paiement]]="",IF(Tableau3453[[#This Row],[Jours]]&gt;30,IF(Tableau3453[[#This Row],[Jours]]&lt;60,Tableau3453[[#This Row],[Montant
de la facture
CHF]],""),""),"")</f>
        <v/>
      </c>
      <c r="P264" s="241" t="str">
        <f>IF(Tableau3453[[#This Row],[Date 
du paiement]]="",IF(Tableau3453[[#This Row],[Jours]]&gt;60,Tableau3453[[#This Row],[Montant
de la facture
CHF]],""),"")</f>
        <v/>
      </c>
      <c r="Q264" s="249"/>
      <c r="R264" s="250" t="str">
        <f>Tableau3453[[#This Row],[Solde 
ouverte
fm]]</f>
        <v/>
      </c>
      <c r="S26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5" spans="1:19" hidden="1" outlineLevel="1" x14ac:dyDescent="0.25">
      <c r="A265" s="238">
        <v>240358</v>
      </c>
      <c r="B265" s="239" t="s">
        <v>860</v>
      </c>
      <c r="C265" s="352" t="str">
        <f>IF(Tableau3453[[#This Row],[Date 
du paiement]]="",IF(Tableau3453[[#This Row],[Jours]]&gt;Tableau3453[[#This Row],[Conditions
pmt+]]+5,"oui",""),"")</f>
        <v/>
      </c>
      <c r="D265" s="238" t="s">
        <v>975</v>
      </c>
      <c r="E265" s="240">
        <v>45398</v>
      </c>
      <c r="F265" s="241">
        <v>749.85</v>
      </c>
      <c r="G265" s="242" t="str">
        <f>IF(Tableau3453[[#This Row],[Date 
du paiement]]="",Tableau3453[[#This Row],[Montant
de la facture
CHF]],"")</f>
        <v/>
      </c>
      <c r="H265" s="243" t="s">
        <v>1000</v>
      </c>
      <c r="I265" s="245">
        <v>45398</v>
      </c>
      <c r="J265" s="246">
        <v>45398</v>
      </c>
      <c r="K265" s="247" t="s">
        <v>58</v>
      </c>
      <c r="L265" s="248"/>
      <c r="M265" s="248">
        <f>IF(Tableau3453[[#This Row],[Date 
du paiement]]="",$D$4-Tableau3453[[#This Row],[Date
de la facture]],Tableau3453[[#This Row],[Date 
du paiement]]-Tableau3453[[#This Row],[Date
de la facture]])</f>
        <v>0</v>
      </c>
      <c r="N265" s="241" t="str">
        <f>IF(Tableau3453[[#This Row],[Date 
du paiement]]="",IF(Tableau3453[[#This Row],[Jours]]&lt;30,Tableau3453[[#This Row],[Montant
de la facture
CHF]],""),"")</f>
        <v/>
      </c>
      <c r="O265" s="241" t="str">
        <f>IF(Tableau3453[[#This Row],[Date 
du paiement]]="",IF(Tableau3453[[#This Row],[Jours]]&gt;30,IF(Tableau3453[[#This Row],[Jours]]&lt;60,Tableau3453[[#This Row],[Montant
de la facture
CHF]],""),""),"")</f>
        <v/>
      </c>
      <c r="P265" s="241" t="str">
        <f>IF(Tableau3453[[#This Row],[Date 
du paiement]]="",IF(Tableau3453[[#This Row],[Jours]]&gt;60,Tableau3453[[#This Row],[Montant
de la facture
CHF]],""),"")</f>
        <v/>
      </c>
      <c r="Q265" s="249"/>
      <c r="R265" s="267" t="str">
        <f>Tableau3453[[#This Row],[Solde 
ouverte
fm]]</f>
        <v/>
      </c>
      <c r="S26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6" spans="1:19" hidden="1" outlineLevel="1" x14ac:dyDescent="0.25">
      <c r="A266" s="238">
        <v>240320</v>
      </c>
      <c r="B266" s="239" t="s">
        <v>860</v>
      </c>
      <c r="C266" s="352" t="str">
        <f>IF(Tableau3453[[#This Row],[Date 
du paiement]]="",IF(Tableau3453[[#This Row],[Jours]]&gt;Tableau3453[[#This Row],[Conditions
pmt+]]+5,"oui",""),"")</f>
        <v/>
      </c>
      <c r="D266" s="238" t="s">
        <v>901</v>
      </c>
      <c r="E266" s="240">
        <v>45399</v>
      </c>
      <c r="F266" s="241">
        <v>2637.8</v>
      </c>
      <c r="G266" s="242" t="str">
        <f>IF(Tableau3453[[#This Row],[Date 
du paiement]]="",Tableau3453[[#This Row],[Montant
de la facture
CHF]],"")</f>
        <v/>
      </c>
      <c r="H266" s="243"/>
      <c r="I266" s="245">
        <v>45400</v>
      </c>
      <c r="J266" s="246">
        <v>45427</v>
      </c>
      <c r="K266" s="247" t="s">
        <v>58</v>
      </c>
      <c r="L266" s="248"/>
      <c r="M266" s="248">
        <f>IF(Tableau3453[[#This Row],[Date 
du paiement]]="",$D$4-Tableau3453[[#This Row],[Date
de la facture]],Tableau3453[[#This Row],[Date 
du paiement]]-Tableau3453[[#This Row],[Date
de la facture]])</f>
        <v>28</v>
      </c>
      <c r="N266" s="241" t="str">
        <f>IF(Tableau3453[[#This Row],[Date 
du paiement]]="",IF(Tableau3453[[#This Row],[Jours]]&lt;30,Tableau3453[[#This Row],[Montant
de la facture
CHF]],""),"")</f>
        <v/>
      </c>
      <c r="O266" s="241" t="str">
        <f>IF(Tableau3453[[#This Row],[Date 
du paiement]]="",IF(Tableau3453[[#This Row],[Jours]]&gt;30,IF(Tableau3453[[#This Row],[Jours]]&lt;60,Tableau3453[[#This Row],[Montant
de la facture
CHF]],""),""),"")</f>
        <v/>
      </c>
      <c r="P266" s="241" t="str">
        <f>IF(Tableau3453[[#This Row],[Date 
du paiement]]="",IF(Tableau3453[[#This Row],[Jours]]&gt;60,Tableau3453[[#This Row],[Montant
de la facture
CHF]],""),"")</f>
        <v/>
      </c>
      <c r="Q266" s="249"/>
      <c r="R266" s="250" t="str">
        <f>Tableau3453[[#This Row],[Solde 
ouverte
fm]]</f>
        <v/>
      </c>
      <c r="S26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7" spans="1:19" hidden="1" outlineLevel="1" x14ac:dyDescent="0.25">
      <c r="A267" s="238">
        <v>240317</v>
      </c>
      <c r="B267" s="239" t="s">
        <v>860</v>
      </c>
      <c r="C267" s="352" t="str">
        <f>IF(Tableau3453[[#This Row],[Date 
du paiement]]="",IF(Tableau3453[[#This Row],[Jours]]&gt;Tableau3453[[#This Row],[Conditions
pmt+]]+5,"oui",""),"")</f>
        <v/>
      </c>
      <c r="D267" s="238" t="s">
        <v>927</v>
      </c>
      <c r="E267" s="240">
        <v>45399</v>
      </c>
      <c r="F267" s="241">
        <v>467.95</v>
      </c>
      <c r="G267" s="242" t="str">
        <f>IF(Tableau3453[[#This Row],[Date 
du paiement]]="",Tableau3453[[#This Row],[Montant
de la facture
CHF]],"")</f>
        <v/>
      </c>
      <c r="H267" s="243"/>
      <c r="I267" s="245">
        <v>45400</v>
      </c>
      <c r="J267" s="246">
        <v>45426</v>
      </c>
      <c r="K267" s="247" t="s">
        <v>58</v>
      </c>
      <c r="L267" s="248"/>
      <c r="M267" s="248">
        <f>IF(Tableau3453[[#This Row],[Date 
du paiement]]="",$D$4-Tableau3453[[#This Row],[Date
de la facture]],Tableau3453[[#This Row],[Date 
du paiement]]-Tableau3453[[#This Row],[Date
de la facture]])</f>
        <v>27</v>
      </c>
      <c r="N267" s="241" t="str">
        <f>IF(Tableau3453[[#This Row],[Date 
du paiement]]="",IF(Tableau3453[[#This Row],[Jours]]&lt;30,Tableau3453[[#This Row],[Montant
de la facture
CHF]],""),"")</f>
        <v/>
      </c>
      <c r="O267" s="241" t="str">
        <f>IF(Tableau3453[[#This Row],[Date 
du paiement]]="",IF(Tableau3453[[#This Row],[Jours]]&gt;30,IF(Tableau3453[[#This Row],[Jours]]&lt;60,Tableau3453[[#This Row],[Montant
de la facture
CHF]],""),""),"")</f>
        <v/>
      </c>
      <c r="P267" s="241" t="str">
        <f>IF(Tableau3453[[#This Row],[Date 
du paiement]]="",IF(Tableau3453[[#This Row],[Jours]]&gt;60,Tableau3453[[#This Row],[Montant
de la facture
CHF]],""),"")</f>
        <v/>
      </c>
      <c r="Q267" s="249"/>
      <c r="R267" s="250" t="str">
        <f>Tableau3453[[#This Row],[Solde 
ouverte
fm]]</f>
        <v/>
      </c>
      <c r="S26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8" spans="1:19" hidden="1" outlineLevel="1" x14ac:dyDescent="0.25">
      <c r="A268" s="238">
        <v>240302</v>
      </c>
      <c r="B268" s="239" t="s">
        <v>860</v>
      </c>
      <c r="C268" s="352" t="str">
        <f>IF(Tableau3453[[#This Row],[Date 
du paiement]]="",IF(Tableau3453[[#This Row],[Jours]]&gt;Tableau3453[[#This Row],[Conditions
pmt+]]+5,"oui",""),"")</f>
        <v/>
      </c>
      <c r="D268" s="238" t="s">
        <v>983</v>
      </c>
      <c r="E268" s="240">
        <v>45399</v>
      </c>
      <c r="F268" s="241">
        <v>359.1</v>
      </c>
      <c r="G268" s="242" t="str">
        <f>IF(Tableau3453[[#This Row],[Date 
du paiement]]="",Tableau3453[[#This Row],[Montant
de la facture
CHF]],"")</f>
        <v/>
      </c>
      <c r="H268" s="243"/>
      <c r="I268" s="245">
        <v>45400</v>
      </c>
      <c r="J268" s="246">
        <v>45420</v>
      </c>
      <c r="K268" s="247" t="s">
        <v>58</v>
      </c>
      <c r="L268" s="248"/>
      <c r="M268" s="248">
        <f>IF(Tableau3453[[#This Row],[Date 
du paiement]]="",$D$4-Tableau3453[[#This Row],[Date
de la facture]],Tableau3453[[#This Row],[Date 
du paiement]]-Tableau3453[[#This Row],[Date
de la facture]])</f>
        <v>21</v>
      </c>
      <c r="N268" s="241" t="str">
        <f>IF(Tableau3453[[#This Row],[Date 
du paiement]]="",IF(Tableau3453[[#This Row],[Jours]]&lt;30,Tableau3453[[#This Row],[Montant
de la facture
CHF]],""),"")</f>
        <v/>
      </c>
      <c r="O268" s="241" t="str">
        <f>IF(Tableau3453[[#This Row],[Date 
du paiement]]="",IF(Tableau3453[[#This Row],[Jours]]&gt;30,IF(Tableau3453[[#This Row],[Jours]]&lt;60,Tableau3453[[#This Row],[Montant
de la facture
CHF]],""),""),"")</f>
        <v/>
      </c>
      <c r="P268" s="241" t="str">
        <f>IF(Tableau3453[[#This Row],[Date 
du paiement]]="",IF(Tableau3453[[#This Row],[Jours]]&gt;60,Tableau3453[[#This Row],[Montant
de la facture
CHF]],""),"")</f>
        <v/>
      </c>
      <c r="Q268" s="249"/>
      <c r="R268" s="250" t="str">
        <f>Tableau3453[[#This Row],[Solde 
ouverte
fm]]</f>
        <v/>
      </c>
      <c r="S26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69" spans="1:19" hidden="1" outlineLevel="1" x14ac:dyDescent="0.25">
      <c r="A269" s="238">
        <v>240311</v>
      </c>
      <c r="B269" s="239" t="s">
        <v>860</v>
      </c>
      <c r="C269" s="352" t="str">
        <f>IF(Tableau3453[[#This Row],[Date 
du paiement]]="",IF(Tableau3453[[#This Row],[Jours]]&gt;Tableau3453[[#This Row],[Conditions
pmt+]]+5,"oui",""),"")</f>
        <v/>
      </c>
      <c r="D269" s="238" t="s">
        <v>1001</v>
      </c>
      <c r="E269" s="240">
        <v>45399</v>
      </c>
      <c r="F269" s="241">
        <v>270.55</v>
      </c>
      <c r="G269" s="242" t="str">
        <f>IF(Tableau3453[[#This Row],[Date 
du paiement]]="",Tableau3453[[#This Row],[Montant
de la facture
CHF]],"")</f>
        <v/>
      </c>
      <c r="H269" s="243"/>
      <c r="I269" s="245">
        <v>45401</v>
      </c>
      <c r="J269" s="246">
        <v>45406</v>
      </c>
      <c r="K269" s="247" t="s">
        <v>58</v>
      </c>
      <c r="L269" s="248"/>
      <c r="M269" s="248">
        <f>IF(Tableau3453[[#This Row],[Date 
du paiement]]="",$D$4-Tableau3453[[#This Row],[Date
de la facture]],Tableau3453[[#This Row],[Date 
du paiement]]-Tableau3453[[#This Row],[Date
de la facture]])</f>
        <v>7</v>
      </c>
      <c r="N269" s="241" t="str">
        <f>IF(Tableau3453[[#This Row],[Date 
du paiement]]="",IF(Tableau3453[[#This Row],[Jours]]&lt;30,Tableau3453[[#This Row],[Montant
de la facture
CHF]],""),"")</f>
        <v/>
      </c>
      <c r="O269" s="241" t="str">
        <f>IF(Tableau3453[[#This Row],[Date 
du paiement]]="",IF(Tableau3453[[#This Row],[Jours]]&gt;30,IF(Tableau3453[[#This Row],[Jours]]&lt;60,Tableau3453[[#This Row],[Montant
de la facture
CHF]],""),""),"")</f>
        <v/>
      </c>
      <c r="P269" s="241" t="str">
        <f>IF(Tableau3453[[#This Row],[Date 
du paiement]]="",IF(Tableau3453[[#This Row],[Jours]]&gt;60,Tableau3453[[#This Row],[Montant
de la facture
CHF]],""),"")</f>
        <v/>
      </c>
      <c r="Q269" s="249"/>
      <c r="R269" s="250" t="str">
        <f>Tableau3453[[#This Row],[Solde 
ouverte
fm]]</f>
        <v/>
      </c>
      <c r="S26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0" spans="1:19" hidden="1" outlineLevel="1" x14ac:dyDescent="0.25">
      <c r="A270" s="238">
        <v>240386</v>
      </c>
      <c r="B270" s="239" t="s">
        <v>857</v>
      </c>
      <c r="C270" s="352" t="str">
        <f>IF(Tableau3453[[#This Row],[Date 
du paiement]]="",IF(Tableau3453[[#This Row],[Jours]]&gt;Tableau3453[[#This Row],[Conditions
pmt+]]+5,"oui",""),"")</f>
        <v/>
      </c>
      <c r="D270" s="238" t="s">
        <v>1002</v>
      </c>
      <c r="E270" s="240">
        <v>45399</v>
      </c>
      <c r="F270" s="241">
        <v>852.5</v>
      </c>
      <c r="G270" s="242" t="str">
        <f>IF(Tableau3453[[#This Row],[Date 
du paiement]]="",Tableau3453[[#This Row],[Montant
de la facture
CHF]],"")</f>
        <v/>
      </c>
      <c r="H270" s="243"/>
      <c r="I270" s="245">
        <v>45400</v>
      </c>
      <c r="J270" s="246">
        <v>45489</v>
      </c>
      <c r="K270" s="247" t="s">
        <v>58</v>
      </c>
      <c r="L270" s="248">
        <v>4</v>
      </c>
      <c r="M270" s="248">
        <f>IF(Tableau3453[[#This Row],[Date 
du paiement]]="",$D$4-Tableau3453[[#This Row],[Date
de la facture]],Tableau3453[[#This Row],[Date 
du paiement]]-Tableau3453[[#This Row],[Date
de la facture]])</f>
        <v>90</v>
      </c>
      <c r="N270" s="241" t="str">
        <f>IF(Tableau3453[[#This Row],[Date 
du paiement]]="",IF(Tableau3453[[#This Row],[Jours]]&lt;30,Tableau3453[[#This Row],[Montant
de la facture
CHF]],""),"")</f>
        <v/>
      </c>
      <c r="O270" s="241" t="str">
        <f>IF(Tableau3453[[#This Row],[Date 
du paiement]]="",IF(Tableau3453[[#This Row],[Jours]]&gt;30,IF(Tableau3453[[#This Row],[Jours]]&lt;60,Tableau3453[[#This Row],[Montant
de la facture
CHF]],""),""),"")</f>
        <v/>
      </c>
      <c r="P270" s="241" t="str">
        <f>IF(Tableau3453[[#This Row],[Date 
du paiement]]="",IF(Tableau3453[[#This Row],[Jours]]&gt;60,Tableau3453[[#This Row],[Montant
de la facture
CHF]],""),"")</f>
        <v/>
      </c>
      <c r="Q270" s="249" t="s">
        <v>1208</v>
      </c>
      <c r="R270" s="250" t="str">
        <f>Tableau3453[[#This Row],[Solde 
ouverte
fm]]</f>
        <v/>
      </c>
      <c r="S27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1" spans="1:19" hidden="1" outlineLevel="1" x14ac:dyDescent="0.25">
      <c r="A271" s="238">
        <v>240382</v>
      </c>
      <c r="B271" s="239" t="s">
        <v>860</v>
      </c>
      <c r="C271" s="352" t="str">
        <f>IF(Tableau3453[[#This Row],[Date 
du paiement]]="",IF(Tableau3453[[#This Row],[Jours]]&gt;Tableau3453[[#This Row],[Conditions
pmt+]]+5,"oui",""),"")</f>
        <v/>
      </c>
      <c r="D271" s="238" t="s">
        <v>1003</v>
      </c>
      <c r="E271" s="240">
        <v>45400</v>
      </c>
      <c r="F271" s="241">
        <v>1296.3499999999999</v>
      </c>
      <c r="G271" s="242" t="str">
        <f>IF(Tableau3453[[#This Row],[Date 
du paiement]]="",Tableau3453[[#This Row],[Montant
de la facture
CHF]],"")</f>
        <v/>
      </c>
      <c r="H271" s="243"/>
      <c r="I271" s="245">
        <v>45400</v>
      </c>
      <c r="J271" s="246">
        <v>45469</v>
      </c>
      <c r="K271" s="247" t="s">
        <v>58</v>
      </c>
      <c r="L271" s="248">
        <v>4</v>
      </c>
      <c r="M271" s="248">
        <f>IF(Tableau3453[[#This Row],[Date 
du paiement]]="",$D$4-Tableau3453[[#This Row],[Date
de la facture]],Tableau3453[[#This Row],[Date 
du paiement]]-Tableau3453[[#This Row],[Date
de la facture]])</f>
        <v>69</v>
      </c>
      <c r="N271" s="241" t="str">
        <f>IF(Tableau3453[[#This Row],[Date 
du paiement]]="",IF(Tableau3453[[#This Row],[Jours]]&lt;30,Tableau3453[[#This Row],[Montant
de la facture
CHF]],""),"")</f>
        <v/>
      </c>
      <c r="O271" s="241" t="str">
        <f>IF(Tableau3453[[#This Row],[Date 
du paiement]]="",IF(Tableau3453[[#This Row],[Jours]]&gt;30,IF(Tableau3453[[#This Row],[Jours]]&lt;60,Tableau3453[[#This Row],[Montant
de la facture
CHF]],""),""),"")</f>
        <v/>
      </c>
      <c r="P271" s="241" t="str">
        <f>IF(Tableau3453[[#This Row],[Date 
du paiement]]="",IF(Tableau3453[[#This Row],[Jours]]&gt;60,Tableau3453[[#This Row],[Montant
de la facture
CHF]],""),"")</f>
        <v/>
      </c>
      <c r="Q271" s="249" t="s">
        <v>1049</v>
      </c>
      <c r="R271" s="250" t="str">
        <f>Tableau3453[[#This Row],[Solde 
ouverte
fm]]</f>
        <v/>
      </c>
      <c r="S27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2" spans="1:19" hidden="1" outlineLevel="1" x14ac:dyDescent="0.25">
      <c r="A272" s="238">
        <v>240387</v>
      </c>
      <c r="B272" s="239" t="s">
        <v>860</v>
      </c>
      <c r="C272" s="352" t="str">
        <f>IF(Tableau3453[[#This Row],[Date 
du paiement]]="",IF(Tableau3453[[#This Row],[Jours]]&gt;Tableau3453[[#This Row],[Conditions
pmt+]]+5,"oui",""),"")</f>
        <v/>
      </c>
      <c r="D272" s="238" t="s">
        <v>995</v>
      </c>
      <c r="E272" s="240">
        <v>45400</v>
      </c>
      <c r="F272" s="241">
        <v>425.85</v>
      </c>
      <c r="G272" s="242" t="str">
        <f>IF(Tableau3453[[#This Row],[Date 
du paiement]]="",Tableau3453[[#This Row],[Montant
de la facture
CHF]],"")</f>
        <v/>
      </c>
      <c r="H272" s="243"/>
      <c r="I272" s="245">
        <v>45404</v>
      </c>
      <c r="J272" s="246">
        <v>45455</v>
      </c>
      <c r="K272" s="247" t="s">
        <v>58</v>
      </c>
      <c r="L272" s="248">
        <v>3</v>
      </c>
      <c r="M272" s="248">
        <f>IF(Tableau3453[[#This Row],[Date 
du paiement]]="",$D$4-Tableau3453[[#This Row],[Date
de la facture]],Tableau3453[[#This Row],[Date 
du paiement]]-Tableau3453[[#This Row],[Date
de la facture]])</f>
        <v>55</v>
      </c>
      <c r="N272" s="241" t="str">
        <f>IF(Tableau3453[[#This Row],[Date 
du paiement]]="",IF(Tableau3453[[#This Row],[Jours]]&lt;30,Tableau3453[[#This Row],[Montant
de la facture
CHF]],""),"")</f>
        <v/>
      </c>
      <c r="O272" s="241" t="str">
        <f>IF(Tableau3453[[#This Row],[Date 
du paiement]]="",IF(Tableau3453[[#This Row],[Jours]]&gt;30,IF(Tableau3453[[#This Row],[Jours]]&lt;60,Tableau3453[[#This Row],[Montant
de la facture
CHF]],""),""),"")</f>
        <v/>
      </c>
      <c r="P272" s="241" t="str">
        <f>IF(Tableau3453[[#This Row],[Date 
du paiement]]="",IF(Tableau3453[[#This Row],[Jours]]&gt;60,Tableau3453[[#This Row],[Montant
de la facture
CHF]],""),"")</f>
        <v/>
      </c>
      <c r="Q272" s="249" t="s">
        <v>997</v>
      </c>
      <c r="R272" s="250" t="str">
        <f>Tableau3453[[#This Row],[Solde 
ouverte
fm]]</f>
        <v/>
      </c>
      <c r="S27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3" spans="1:19" hidden="1" outlineLevel="1" x14ac:dyDescent="0.25">
      <c r="A273" s="238">
        <v>240389</v>
      </c>
      <c r="B273" s="239" t="s">
        <v>860</v>
      </c>
      <c r="C273" s="352" t="str">
        <f>IF(Tableau3453[[#This Row],[Date 
du paiement]]="",IF(Tableau3453[[#This Row],[Jours]]&gt;Tableau3453[[#This Row],[Conditions
pmt+]]+5,"oui",""),"")</f>
        <v/>
      </c>
      <c r="D273" s="238" t="s">
        <v>1035</v>
      </c>
      <c r="E273" s="240">
        <v>45400</v>
      </c>
      <c r="F273" s="241">
        <v>545.79999999999995</v>
      </c>
      <c r="G273" s="242" t="str">
        <f>IF(Tableau3453[[#This Row],[Date 
du paiement]]="",Tableau3453[[#This Row],[Montant
de la facture
CHF]],"")</f>
        <v/>
      </c>
      <c r="H273" s="243"/>
      <c r="I273" s="245">
        <v>45404</v>
      </c>
      <c r="J273" s="246">
        <v>45467</v>
      </c>
      <c r="K273" s="247" t="s">
        <v>58</v>
      </c>
      <c r="L273" s="248">
        <v>4</v>
      </c>
      <c r="M273" s="248">
        <f>IF(Tableau3453[[#This Row],[Date 
du paiement]]="",$D$4-Tableau3453[[#This Row],[Date
de la facture]],Tableau3453[[#This Row],[Date 
du paiement]]-Tableau3453[[#This Row],[Date
de la facture]])</f>
        <v>67</v>
      </c>
      <c r="N273" s="241" t="str">
        <f>IF(Tableau3453[[#This Row],[Date 
du paiement]]="",IF(Tableau3453[[#This Row],[Jours]]&lt;30,Tableau3453[[#This Row],[Montant
de la facture
CHF]],""),"")</f>
        <v/>
      </c>
      <c r="O273" s="241" t="str">
        <f>IF(Tableau3453[[#This Row],[Date 
du paiement]]="",IF(Tableau3453[[#This Row],[Jours]]&gt;30,IF(Tableau3453[[#This Row],[Jours]]&lt;60,Tableau3453[[#This Row],[Montant
de la facture
CHF]],""),""),"")</f>
        <v/>
      </c>
      <c r="P273" s="241" t="str">
        <f>IF(Tableau3453[[#This Row],[Date 
du paiement]]="",IF(Tableau3453[[#This Row],[Jours]]&gt;60,Tableau3453[[#This Row],[Montant
de la facture
CHF]],""),"")</f>
        <v/>
      </c>
      <c r="Q273" s="249" t="s">
        <v>1036</v>
      </c>
      <c r="R273" s="250" t="str">
        <f>Tableau3453[[#This Row],[Solde 
ouverte
fm]]</f>
        <v/>
      </c>
      <c r="S27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4" spans="1:19" hidden="1" outlineLevel="1" x14ac:dyDescent="0.25">
      <c r="A274" s="238">
        <v>240230</v>
      </c>
      <c r="B274" s="239" t="s">
        <v>860</v>
      </c>
      <c r="C274" s="352" t="str">
        <f>IF(Tableau3453[[#This Row],[Date 
du paiement]]="",IF(Tableau3453[[#This Row],[Jours]]&gt;Tableau3453[[#This Row],[Conditions
pmt+]]+5,"oui",""),"")</f>
        <v/>
      </c>
      <c r="D274" s="238" t="s">
        <v>985</v>
      </c>
      <c r="E274" s="240">
        <v>45400</v>
      </c>
      <c r="F274" s="241">
        <v>94.6</v>
      </c>
      <c r="G274" s="242" t="str">
        <f>IF(Tableau3453[[#This Row],[Date 
du paiement]]="",Tableau3453[[#This Row],[Montant
de la facture
CHF]],"")</f>
        <v/>
      </c>
      <c r="H274" s="243"/>
      <c r="I274" s="245">
        <v>45400</v>
      </c>
      <c r="J274" s="246">
        <v>45428</v>
      </c>
      <c r="K274" s="247" t="s">
        <v>58</v>
      </c>
      <c r="L274" s="248"/>
      <c r="M274" s="248">
        <f>IF(Tableau3453[[#This Row],[Date 
du paiement]]="",$D$4-Tableau3453[[#This Row],[Date
de la facture]],Tableau3453[[#This Row],[Date 
du paiement]]-Tableau3453[[#This Row],[Date
de la facture]])</f>
        <v>28</v>
      </c>
      <c r="N274" s="241" t="str">
        <f>IF(Tableau3453[[#This Row],[Date 
du paiement]]="",IF(Tableau3453[[#This Row],[Jours]]&lt;30,Tableau3453[[#This Row],[Montant
de la facture
CHF]],""),"")</f>
        <v/>
      </c>
      <c r="O274" s="241" t="str">
        <f>IF(Tableau3453[[#This Row],[Date 
du paiement]]="",IF(Tableau3453[[#This Row],[Jours]]&gt;30,IF(Tableau3453[[#This Row],[Jours]]&lt;60,Tableau3453[[#This Row],[Montant
de la facture
CHF]],""),""),"")</f>
        <v/>
      </c>
      <c r="P274" s="241" t="str">
        <f>IF(Tableau3453[[#This Row],[Date 
du paiement]]="",IF(Tableau3453[[#This Row],[Jours]]&gt;60,Tableau3453[[#This Row],[Montant
de la facture
CHF]],""),"")</f>
        <v/>
      </c>
      <c r="Q274" s="249"/>
      <c r="R274" s="250" t="str">
        <f>Tableau3453[[#This Row],[Solde 
ouverte
fm]]</f>
        <v/>
      </c>
      <c r="S2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5" spans="1:19" hidden="1" outlineLevel="1" x14ac:dyDescent="0.25">
      <c r="A275" s="238">
        <v>240285</v>
      </c>
      <c r="B275" s="239" t="s">
        <v>860</v>
      </c>
      <c r="C275" s="352" t="str">
        <f>IF(Tableau3453[[#This Row],[Date 
du paiement]]="",IF(Tableau3453[[#This Row],[Jours]]&gt;Tableau3453[[#This Row],[Conditions
pmt+]]+5,"oui",""),"")</f>
        <v/>
      </c>
      <c r="D275" s="238" t="s">
        <v>959</v>
      </c>
      <c r="E275" s="240">
        <v>45400</v>
      </c>
      <c r="F275" s="241">
        <v>1029.6500000000001</v>
      </c>
      <c r="G275" s="242" t="str">
        <f>IF(Tableau3453[[#This Row],[Date 
du paiement]]="",Tableau3453[[#This Row],[Montant
de la facture
CHF]],"")</f>
        <v/>
      </c>
      <c r="H275" s="243"/>
      <c r="I275" s="245">
        <v>45404</v>
      </c>
      <c r="J275" s="246">
        <v>45427</v>
      </c>
      <c r="K275" s="247" t="s">
        <v>58</v>
      </c>
      <c r="L275" s="248"/>
      <c r="M275" s="248">
        <f>IF(Tableau3453[[#This Row],[Date 
du paiement]]="",$D$4-Tableau3453[[#This Row],[Date
de la facture]],Tableau3453[[#This Row],[Date 
du paiement]]-Tableau3453[[#This Row],[Date
de la facture]])</f>
        <v>27</v>
      </c>
      <c r="N275" s="241" t="str">
        <f>IF(Tableau3453[[#This Row],[Date 
du paiement]]="",IF(Tableau3453[[#This Row],[Jours]]&lt;30,Tableau3453[[#This Row],[Montant
de la facture
CHF]],""),"")</f>
        <v/>
      </c>
      <c r="O275" s="241" t="str">
        <f>IF(Tableau3453[[#This Row],[Date 
du paiement]]="",IF(Tableau3453[[#This Row],[Jours]]&gt;30,IF(Tableau3453[[#This Row],[Jours]]&lt;60,Tableau3453[[#This Row],[Montant
de la facture
CHF]],""),""),"")</f>
        <v/>
      </c>
      <c r="P275" s="241" t="str">
        <f>IF(Tableau3453[[#This Row],[Date 
du paiement]]="",IF(Tableau3453[[#This Row],[Jours]]&gt;60,Tableau3453[[#This Row],[Montant
de la facture
CHF]],""),"")</f>
        <v/>
      </c>
      <c r="Q275" s="249"/>
      <c r="R275" s="250" t="str">
        <f>Tableau3453[[#This Row],[Solde 
ouverte
fm]]</f>
        <v/>
      </c>
      <c r="S27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6" spans="1:19" hidden="1" outlineLevel="1" x14ac:dyDescent="0.25">
      <c r="A276" s="238">
        <v>240363</v>
      </c>
      <c r="B276" s="239" t="s">
        <v>860</v>
      </c>
      <c r="C276" s="352" t="str">
        <f>IF(Tableau3453[[#This Row],[Date 
du paiement]]="",IF(Tableau3453[[#This Row],[Jours]]&gt;Tableau3453[[#This Row],[Conditions
pmt+]]+5,"oui",""),"")</f>
        <v/>
      </c>
      <c r="D276" s="238" t="s">
        <v>900</v>
      </c>
      <c r="E276" s="240">
        <v>45401</v>
      </c>
      <c r="F276" s="241">
        <v>3315.75</v>
      </c>
      <c r="G276" s="242" t="str">
        <f>IF(Tableau3453[[#This Row],[Date 
du paiement]]="",Tableau3453[[#This Row],[Montant
de la facture
CHF]],"")</f>
        <v/>
      </c>
      <c r="H276" s="243"/>
      <c r="I276" s="245">
        <v>45404</v>
      </c>
      <c r="J276" s="246">
        <v>45450</v>
      </c>
      <c r="K276" s="247" t="s">
        <v>58</v>
      </c>
      <c r="L276" s="248">
        <v>1</v>
      </c>
      <c r="M276" s="248">
        <f>IF(Tableau3453[[#This Row],[Date 
du paiement]]="",$D$4-Tableau3453[[#This Row],[Date
de la facture]],Tableau3453[[#This Row],[Date 
du paiement]]-Tableau3453[[#This Row],[Date
de la facture]])</f>
        <v>49</v>
      </c>
      <c r="N276" s="241" t="str">
        <f>IF(Tableau3453[[#This Row],[Date 
du paiement]]="",IF(Tableau3453[[#This Row],[Jours]]&lt;30,Tableau3453[[#This Row],[Montant
de la facture
CHF]],""),"")</f>
        <v/>
      </c>
      <c r="O276" s="241" t="str">
        <f>IF(Tableau3453[[#This Row],[Date 
du paiement]]="",IF(Tableau3453[[#This Row],[Jours]]&gt;30,IF(Tableau3453[[#This Row],[Jours]]&lt;60,Tableau3453[[#This Row],[Montant
de la facture
CHF]],""),""),"")</f>
        <v/>
      </c>
      <c r="P276" s="241" t="str">
        <f>IF(Tableau3453[[#This Row],[Date 
du paiement]]="",IF(Tableau3453[[#This Row],[Jours]]&gt;60,Tableau3453[[#This Row],[Montant
de la facture
CHF]],""),"")</f>
        <v/>
      </c>
      <c r="Q276" s="249"/>
      <c r="R276" s="250" t="str">
        <f>Tableau3453[[#This Row],[Solde 
ouverte
fm]]</f>
        <v/>
      </c>
      <c r="S27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7" spans="1:19" hidden="1" outlineLevel="1" x14ac:dyDescent="0.25">
      <c r="A277" s="238">
        <v>240366</v>
      </c>
      <c r="B277" s="239" t="s">
        <v>860</v>
      </c>
      <c r="C277" s="352" t="str">
        <f>IF(Tableau3453[[#This Row],[Date 
du paiement]]="",IF(Tableau3453[[#This Row],[Jours]]&gt;Tableau3453[[#This Row],[Conditions
pmt+]]+5,"oui",""),"")</f>
        <v/>
      </c>
      <c r="D277" s="238" t="s">
        <v>1004</v>
      </c>
      <c r="E277" s="240">
        <v>45401</v>
      </c>
      <c r="F277" s="241">
        <v>1102.95</v>
      </c>
      <c r="G277" s="242" t="str">
        <f>IF(Tableau3453[[#This Row],[Date 
du paiement]]="",Tableau3453[[#This Row],[Montant
de la facture
CHF]],"")</f>
        <v/>
      </c>
      <c r="H277" s="243"/>
      <c r="I277" s="245">
        <v>45404</v>
      </c>
      <c r="J277" s="246">
        <v>45450</v>
      </c>
      <c r="K277" s="247" t="s">
        <v>58</v>
      </c>
      <c r="L277" s="248">
        <v>1</v>
      </c>
      <c r="M277" s="248">
        <f>IF(Tableau3453[[#This Row],[Date 
du paiement]]="",$D$4-Tableau3453[[#This Row],[Date
de la facture]],Tableau3453[[#This Row],[Date 
du paiement]]-Tableau3453[[#This Row],[Date
de la facture]])</f>
        <v>49</v>
      </c>
      <c r="N277" s="241" t="str">
        <f>IF(Tableau3453[[#This Row],[Date 
du paiement]]="",IF(Tableau3453[[#This Row],[Jours]]&lt;30,Tableau3453[[#This Row],[Montant
de la facture
CHF]],""),"")</f>
        <v/>
      </c>
      <c r="O277" s="241" t="str">
        <f>IF(Tableau3453[[#This Row],[Date 
du paiement]]="",IF(Tableau3453[[#This Row],[Jours]]&gt;30,IF(Tableau3453[[#This Row],[Jours]]&lt;60,Tableau3453[[#This Row],[Montant
de la facture
CHF]],""),""),"")</f>
        <v/>
      </c>
      <c r="P277" s="241" t="str">
        <f>IF(Tableau3453[[#This Row],[Date 
du paiement]]="",IF(Tableau3453[[#This Row],[Jours]]&gt;60,Tableau3453[[#This Row],[Montant
de la facture
CHF]],""),"")</f>
        <v/>
      </c>
      <c r="Q277" s="249"/>
      <c r="R277" s="250" t="str">
        <f>Tableau3453[[#This Row],[Solde 
ouverte
fm]]</f>
        <v/>
      </c>
      <c r="S27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8" spans="1:19" hidden="1" outlineLevel="1" x14ac:dyDescent="0.25">
      <c r="A278" s="238">
        <v>240322</v>
      </c>
      <c r="B278" s="239" t="s">
        <v>860</v>
      </c>
      <c r="C278" s="352" t="str">
        <f>IF(Tableau3453[[#This Row],[Date 
du paiement]]="",IF(Tableau3453[[#This Row],[Jours]]&gt;Tableau3453[[#This Row],[Conditions
pmt+]]+5,"oui",""),"")</f>
        <v/>
      </c>
      <c r="D278" s="238" t="s">
        <v>380</v>
      </c>
      <c r="E278" s="240">
        <v>45401</v>
      </c>
      <c r="F278" s="241">
        <v>541.5</v>
      </c>
      <c r="G278" s="242" t="str">
        <f>IF(Tableau3453[[#This Row],[Date 
du paiement]]="",Tableau3453[[#This Row],[Montant
de la facture
CHF]],"")</f>
        <v/>
      </c>
      <c r="H278" s="243"/>
      <c r="I278" s="245">
        <v>45404</v>
      </c>
      <c r="J278" s="246">
        <v>45412</v>
      </c>
      <c r="K278" s="247" t="s">
        <v>58</v>
      </c>
      <c r="L278" s="248"/>
      <c r="M278" s="248">
        <f>IF(Tableau3453[[#This Row],[Date 
du paiement]]="",$D$4-Tableau3453[[#This Row],[Date
de la facture]],Tableau3453[[#This Row],[Date 
du paiement]]-Tableau3453[[#This Row],[Date
de la facture]])</f>
        <v>11</v>
      </c>
      <c r="N278" s="241" t="str">
        <f>IF(Tableau3453[[#This Row],[Date 
du paiement]]="",IF(Tableau3453[[#This Row],[Jours]]&lt;30,Tableau3453[[#This Row],[Montant
de la facture
CHF]],""),"")</f>
        <v/>
      </c>
      <c r="O278" s="241" t="str">
        <f>IF(Tableau3453[[#This Row],[Date 
du paiement]]="",IF(Tableau3453[[#This Row],[Jours]]&gt;30,IF(Tableau3453[[#This Row],[Jours]]&lt;60,Tableau3453[[#This Row],[Montant
de la facture
CHF]],""),""),"")</f>
        <v/>
      </c>
      <c r="P278" s="241" t="str">
        <f>IF(Tableau3453[[#This Row],[Date 
du paiement]]="",IF(Tableau3453[[#This Row],[Jours]]&gt;60,Tableau3453[[#This Row],[Montant
de la facture
CHF]],""),"")</f>
        <v/>
      </c>
      <c r="Q278" s="249"/>
      <c r="R278" s="250" t="str">
        <f>Tableau3453[[#This Row],[Solde 
ouverte
fm]]</f>
        <v/>
      </c>
      <c r="S27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79" spans="1:19" hidden="1" outlineLevel="1" x14ac:dyDescent="0.25">
      <c r="A279" s="238">
        <v>240361</v>
      </c>
      <c r="B279" s="239" t="s">
        <v>860</v>
      </c>
      <c r="C279" s="352" t="str">
        <f>IF(Tableau3453[[#This Row],[Date 
du paiement]]="",IF(Tableau3453[[#This Row],[Jours]]&gt;Tableau3453[[#This Row],[Conditions
pmt+]]+5,"oui",""),"")</f>
        <v/>
      </c>
      <c r="D279" s="238" t="s">
        <v>1012</v>
      </c>
      <c r="E279" s="240">
        <v>45404</v>
      </c>
      <c r="F279" s="241">
        <v>7708.75</v>
      </c>
      <c r="G279" s="242" t="str">
        <f>IF(Tableau3453[[#This Row],[Date 
du paiement]]="",Tableau3453[[#This Row],[Montant
de la facture
CHF]],"")</f>
        <v/>
      </c>
      <c r="H279" s="243"/>
      <c r="I279" s="245">
        <v>45405</v>
      </c>
      <c r="J279" s="246">
        <v>45476</v>
      </c>
      <c r="K279" s="247" t="s">
        <v>58</v>
      </c>
      <c r="L279" s="248">
        <v>5</v>
      </c>
      <c r="M279" s="248">
        <f>IF(Tableau3453[[#This Row],[Date 
du paiement]]="",$D$4-Tableau3453[[#This Row],[Date
de la facture]],Tableau3453[[#This Row],[Date 
du paiement]]-Tableau3453[[#This Row],[Date
de la facture]])</f>
        <v>72</v>
      </c>
      <c r="N279" s="241" t="str">
        <f>IF(Tableau3453[[#This Row],[Date 
du paiement]]="",IF(Tableau3453[[#This Row],[Jours]]&lt;30,Tableau3453[[#This Row],[Montant
de la facture
CHF]],""),"")</f>
        <v/>
      </c>
      <c r="O279" s="241" t="str">
        <f>IF(Tableau3453[[#This Row],[Date 
du paiement]]="",IF(Tableau3453[[#This Row],[Jours]]&gt;30,IF(Tableau3453[[#This Row],[Jours]]&lt;60,Tableau3453[[#This Row],[Montant
de la facture
CHF]],""),""),"")</f>
        <v/>
      </c>
      <c r="P279" s="241" t="str">
        <f>IF(Tableau3453[[#This Row],[Date 
du paiement]]="",IF(Tableau3453[[#This Row],[Jours]]&gt;60,Tableau3453[[#This Row],[Montant
de la facture
CHF]],""),"")</f>
        <v/>
      </c>
      <c r="Q279" s="249"/>
      <c r="R279" s="250" t="str">
        <f>Tableau3453[[#This Row],[Solde 
ouverte
fm]]</f>
        <v/>
      </c>
      <c r="S27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0" spans="1:19" hidden="1" outlineLevel="1" x14ac:dyDescent="0.25">
      <c r="A280" s="238">
        <v>240388</v>
      </c>
      <c r="B280" s="239" t="s">
        <v>860</v>
      </c>
      <c r="C280" s="352" t="str">
        <f>IF(Tableau3453[[#This Row],[Date 
du paiement]]="",IF(Tableau3453[[#This Row],[Jours]]&gt;Tableau3453[[#This Row],[Conditions
pmt+]]+5,"oui",""),"")</f>
        <v/>
      </c>
      <c r="D280" s="238" t="s">
        <v>879</v>
      </c>
      <c r="E280" s="240">
        <v>45404</v>
      </c>
      <c r="F280" s="241">
        <v>779.8</v>
      </c>
      <c r="G280" s="242" t="str">
        <f>IF(Tableau3453[[#This Row],[Date 
du paiement]]="",Tableau3453[[#This Row],[Montant
de la facture
CHF]],"")</f>
        <v/>
      </c>
      <c r="H280" s="243"/>
      <c r="I280" s="245">
        <v>45405</v>
      </c>
      <c r="J280" s="246">
        <v>45428</v>
      </c>
      <c r="K280" s="247" t="s">
        <v>58</v>
      </c>
      <c r="L280" s="248"/>
      <c r="M280" s="248">
        <f>IF(Tableau3453[[#This Row],[Date 
du paiement]]="",$D$4-Tableau3453[[#This Row],[Date
de la facture]],Tableau3453[[#This Row],[Date 
du paiement]]-Tableau3453[[#This Row],[Date
de la facture]])</f>
        <v>24</v>
      </c>
      <c r="N280" s="241" t="str">
        <f>IF(Tableau3453[[#This Row],[Date 
du paiement]]="",IF(Tableau3453[[#This Row],[Jours]]&lt;30,Tableau3453[[#This Row],[Montant
de la facture
CHF]],""),"")</f>
        <v/>
      </c>
      <c r="O280" s="241" t="str">
        <f>IF(Tableau3453[[#This Row],[Date 
du paiement]]="",IF(Tableau3453[[#This Row],[Jours]]&gt;30,IF(Tableau3453[[#This Row],[Jours]]&lt;60,Tableau3453[[#This Row],[Montant
de la facture
CHF]],""),""),"")</f>
        <v/>
      </c>
      <c r="P280" s="241" t="str">
        <f>IF(Tableau3453[[#This Row],[Date 
du paiement]]="",IF(Tableau3453[[#This Row],[Jours]]&gt;60,Tableau3453[[#This Row],[Montant
de la facture
CHF]],""),"")</f>
        <v/>
      </c>
      <c r="Q280" s="249"/>
      <c r="R280" s="250" t="str">
        <f>Tableau3453[[#This Row],[Solde 
ouverte
fm]]</f>
        <v/>
      </c>
      <c r="S28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1" spans="1:19" hidden="1" outlineLevel="1" x14ac:dyDescent="0.25">
      <c r="A281" s="238">
        <v>240399</v>
      </c>
      <c r="B281" s="239" t="s">
        <v>860</v>
      </c>
      <c r="C281" s="352" t="str">
        <f>IF(Tableau3453[[#This Row],[Date 
du paiement]]="",IF(Tableau3453[[#This Row],[Jours]]&gt;Tableau3453[[#This Row],[Conditions
pmt+]]+5,"oui",""),"")</f>
        <v/>
      </c>
      <c r="D281" s="238" t="s">
        <v>879</v>
      </c>
      <c r="E281" s="240">
        <v>45404</v>
      </c>
      <c r="F281" s="241">
        <v>551.65</v>
      </c>
      <c r="G281" s="242" t="str">
        <f>IF(Tableau3453[[#This Row],[Date 
du paiement]]="",Tableau3453[[#This Row],[Montant
de la facture
CHF]],"")</f>
        <v/>
      </c>
      <c r="H281" s="243"/>
      <c r="I281" s="245">
        <v>45405</v>
      </c>
      <c r="J281" s="246">
        <v>45428</v>
      </c>
      <c r="K281" s="247" t="s">
        <v>58</v>
      </c>
      <c r="L281" s="248"/>
      <c r="M281" s="248">
        <f>IF(Tableau3453[[#This Row],[Date 
du paiement]]="",$D$4-Tableau3453[[#This Row],[Date
de la facture]],Tableau3453[[#This Row],[Date 
du paiement]]-Tableau3453[[#This Row],[Date
de la facture]])</f>
        <v>24</v>
      </c>
      <c r="N281" s="241" t="str">
        <f>IF(Tableau3453[[#This Row],[Date 
du paiement]]="",IF(Tableau3453[[#This Row],[Jours]]&lt;30,Tableau3453[[#This Row],[Montant
de la facture
CHF]],""),"")</f>
        <v/>
      </c>
      <c r="O281" s="241" t="str">
        <f>IF(Tableau3453[[#This Row],[Date 
du paiement]]="",IF(Tableau3453[[#This Row],[Jours]]&gt;30,IF(Tableau3453[[#This Row],[Jours]]&lt;60,Tableau3453[[#This Row],[Montant
de la facture
CHF]],""),""),"")</f>
        <v/>
      </c>
      <c r="P281" s="241" t="str">
        <f>IF(Tableau3453[[#This Row],[Date 
du paiement]]="",IF(Tableau3453[[#This Row],[Jours]]&gt;60,Tableau3453[[#This Row],[Montant
de la facture
CHF]],""),"")</f>
        <v/>
      </c>
      <c r="Q281" s="249"/>
      <c r="R281" s="250" t="str">
        <f>Tableau3453[[#This Row],[Solde 
ouverte
fm]]</f>
        <v/>
      </c>
      <c r="S28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2" spans="1:19" hidden="1" outlineLevel="1" x14ac:dyDescent="0.25">
      <c r="A282" s="238">
        <v>240406</v>
      </c>
      <c r="B282" s="239" t="s">
        <v>860</v>
      </c>
      <c r="C282" s="352" t="str">
        <f>IF(Tableau3453[[#This Row],[Date 
du paiement]]="",IF(Tableau3453[[#This Row],[Jours]]&gt;Tableau3453[[#This Row],[Conditions
pmt+]]+5,"oui",""),"")</f>
        <v/>
      </c>
      <c r="D282" s="238" t="s">
        <v>891</v>
      </c>
      <c r="E282" s="240">
        <v>45405</v>
      </c>
      <c r="F282" s="241">
        <v>1394.3</v>
      </c>
      <c r="G282" s="242" t="str">
        <f>IF(Tableau3453[[#This Row],[Date 
du paiement]]="",Tableau3453[[#This Row],[Montant
de la facture
CHF]],"")</f>
        <v/>
      </c>
      <c r="H282" s="243"/>
      <c r="I282" s="245">
        <v>45406</v>
      </c>
      <c r="J282" s="246">
        <v>45460</v>
      </c>
      <c r="K282" s="247" t="s">
        <v>58</v>
      </c>
      <c r="L282" s="248">
        <v>3</v>
      </c>
      <c r="M282" s="248">
        <f>IF(Tableau3453[[#This Row],[Date 
du paiement]]="",$D$4-Tableau3453[[#This Row],[Date
de la facture]],Tableau3453[[#This Row],[Date 
du paiement]]-Tableau3453[[#This Row],[Date
de la facture]])</f>
        <v>55</v>
      </c>
      <c r="N282" s="241" t="str">
        <f>IF(Tableau3453[[#This Row],[Date 
du paiement]]="",IF(Tableau3453[[#This Row],[Jours]]&lt;30,Tableau3453[[#This Row],[Montant
de la facture
CHF]],""),"")</f>
        <v/>
      </c>
      <c r="O282" s="241" t="str">
        <f>IF(Tableau3453[[#This Row],[Date 
du paiement]]="",IF(Tableau3453[[#This Row],[Jours]]&gt;30,IF(Tableau3453[[#This Row],[Jours]]&lt;60,Tableau3453[[#This Row],[Montant
de la facture
CHF]],""),""),"")</f>
        <v/>
      </c>
      <c r="P282" s="241" t="str">
        <f>IF(Tableau3453[[#This Row],[Date 
du paiement]]="",IF(Tableau3453[[#This Row],[Jours]]&gt;60,Tableau3453[[#This Row],[Montant
de la facture
CHF]],""),"")</f>
        <v/>
      </c>
      <c r="Q282" s="249"/>
      <c r="R282" s="250" t="str">
        <f>Tableau3453[[#This Row],[Solde 
ouverte
fm]]</f>
        <v/>
      </c>
      <c r="S2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3" spans="1:19" hidden="1" outlineLevel="1" x14ac:dyDescent="0.25">
      <c r="A283" s="238">
        <v>240398</v>
      </c>
      <c r="B283" s="239" t="s">
        <v>857</v>
      </c>
      <c r="C283" s="352" t="str">
        <f>IF(Tableau3453[[#This Row],[Date 
du paiement]]="",IF(Tableau3453[[#This Row],[Jours]]&gt;Tableau3453[[#This Row],[Conditions
pmt+]]+5,"oui",""),"")</f>
        <v/>
      </c>
      <c r="D283" s="238" t="s">
        <v>916</v>
      </c>
      <c r="E283" s="240">
        <v>45406</v>
      </c>
      <c r="F283" s="241">
        <v>11224.05</v>
      </c>
      <c r="G283" s="242" t="str">
        <f>IF(Tableau3453[[#This Row],[Date 
du paiement]]="",Tableau3453[[#This Row],[Montant
de la facture
CHF]],"")</f>
        <v/>
      </c>
      <c r="H283" s="243" t="s">
        <v>1024</v>
      </c>
      <c r="I283" s="245">
        <v>45411</v>
      </c>
      <c r="J283" s="246">
        <v>45467</v>
      </c>
      <c r="K283" s="247" t="s">
        <v>58</v>
      </c>
      <c r="L283" s="248"/>
      <c r="M283" s="248">
        <f>IF(Tableau3453[[#This Row],[Date 
du paiement]]="",$D$4-Tableau3453[[#This Row],[Date
de la facture]],Tableau3453[[#This Row],[Date 
du paiement]]-Tableau3453[[#This Row],[Date
de la facture]])</f>
        <v>61</v>
      </c>
      <c r="N283" s="241" t="str">
        <f>IF(Tableau3453[[#This Row],[Date 
du paiement]]="",IF(Tableau3453[[#This Row],[Jours]]&lt;30,Tableau3453[[#This Row],[Montant
de la facture
CHF]],""),"")</f>
        <v/>
      </c>
      <c r="O283" s="241" t="str">
        <f>IF(Tableau3453[[#This Row],[Date 
du paiement]]="",IF(Tableau3453[[#This Row],[Jours]]&gt;30,IF(Tableau3453[[#This Row],[Jours]]&lt;60,Tableau3453[[#This Row],[Montant
de la facture
CHF]],""),""),"")</f>
        <v/>
      </c>
      <c r="P283" s="241" t="str">
        <f>IF(Tableau3453[[#This Row],[Date 
du paiement]]="",IF(Tableau3453[[#This Row],[Jours]]&gt;60,Tableau3453[[#This Row],[Montant
de la facture
CHF]],""),"")</f>
        <v/>
      </c>
      <c r="Q283" s="249"/>
      <c r="R283" s="250" t="str">
        <f>Tableau3453[[#This Row],[Solde 
ouverte
fm]]</f>
        <v/>
      </c>
      <c r="S2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4" spans="1:19" hidden="1" outlineLevel="1" x14ac:dyDescent="0.25">
      <c r="A284" s="238">
        <v>240282</v>
      </c>
      <c r="B284" s="239" t="s">
        <v>860</v>
      </c>
      <c r="C284" s="352" t="str">
        <f>IF(Tableau3453[[#This Row],[Date 
du paiement]]="",IF(Tableau3453[[#This Row],[Jours]]&gt;Tableau3453[[#This Row],[Conditions
pmt+]]+5,"oui",""),"")</f>
        <v/>
      </c>
      <c r="D284" s="238" t="s">
        <v>891</v>
      </c>
      <c r="E284" s="240">
        <v>45406</v>
      </c>
      <c r="F284" s="241">
        <v>4669.95</v>
      </c>
      <c r="G284" s="242" t="str">
        <f>IF(Tableau3453[[#This Row],[Date 
du paiement]]="",Tableau3453[[#This Row],[Montant
de la facture
CHF]],"")</f>
        <v/>
      </c>
      <c r="H284" s="243" t="s">
        <v>1007</v>
      </c>
      <c r="I284" s="245">
        <v>45435</v>
      </c>
      <c r="J284" s="246">
        <v>45460</v>
      </c>
      <c r="K284" s="247" t="s">
        <v>58</v>
      </c>
      <c r="L284" s="248">
        <v>3</v>
      </c>
      <c r="M284" s="248">
        <f>IF(Tableau3453[[#This Row],[Date 
du paiement]]="",$D$4-Tableau3453[[#This Row],[Date
de la facture]],Tableau3453[[#This Row],[Date 
du paiement]]-Tableau3453[[#This Row],[Date
de la facture]])</f>
        <v>54</v>
      </c>
      <c r="N284" s="241" t="str">
        <f>IF(Tableau3453[[#This Row],[Date 
du paiement]]="",IF(Tableau3453[[#This Row],[Jours]]&lt;30,Tableau3453[[#This Row],[Montant
de la facture
CHF]],""),"")</f>
        <v/>
      </c>
      <c r="O284" s="241" t="str">
        <f>IF(Tableau3453[[#This Row],[Date 
du paiement]]="",IF(Tableau3453[[#This Row],[Jours]]&gt;30,IF(Tableau3453[[#This Row],[Jours]]&lt;60,Tableau3453[[#This Row],[Montant
de la facture
CHF]],""),""),"")</f>
        <v/>
      </c>
      <c r="P284" s="241" t="str">
        <f>IF(Tableau3453[[#This Row],[Date 
du paiement]]="",IF(Tableau3453[[#This Row],[Jours]]&gt;60,Tableau3453[[#This Row],[Montant
de la facture
CHF]],""),"")</f>
        <v/>
      </c>
      <c r="Q284" s="249"/>
      <c r="R284" s="250" t="str">
        <f>Tableau3453[[#This Row],[Solde 
ouverte
fm]]</f>
        <v/>
      </c>
      <c r="S28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5" spans="1:19" hidden="1" outlineLevel="1" x14ac:dyDescent="0.25">
      <c r="A285" s="238">
        <v>240412</v>
      </c>
      <c r="B285" s="239" t="s">
        <v>860</v>
      </c>
      <c r="C285" s="352" t="str">
        <f>IF(Tableau3453[[#This Row],[Date 
du paiement]]="",IF(Tableau3453[[#This Row],[Jours]]&gt;Tableau3453[[#This Row],[Conditions
pmt+]]+5,"oui",""),"")</f>
        <v/>
      </c>
      <c r="D285" s="238" t="s">
        <v>887</v>
      </c>
      <c r="E285" s="240">
        <v>45406</v>
      </c>
      <c r="F285" s="241">
        <v>78.400000000000006</v>
      </c>
      <c r="G285" s="242" t="str">
        <f>IF(Tableau3453[[#This Row],[Date 
du paiement]]="",Tableau3453[[#This Row],[Montant
de la facture
CHF]],"")</f>
        <v/>
      </c>
      <c r="H285" s="243"/>
      <c r="I285" s="245">
        <v>45411</v>
      </c>
      <c r="J285" s="246">
        <v>45453</v>
      </c>
      <c r="K285" s="247" t="s">
        <v>58</v>
      </c>
      <c r="L285" s="248">
        <v>2</v>
      </c>
      <c r="M285" s="248">
        <f>IF(Tableau3453[[#This Row],[Date 
du paiement]]="",$D$4-Tableau3453[[#This Row],[Date
de la facture]],Tableau3453[[#This Row],[Date 
du paiement]]-Tableau3453[[#This Row],[Date
de la facture]])</f>
        <v>47</v>
      </c>
      <c r="N285" s="241" t="str">
        <f>IF(Tableau3453[[#This Row],[Date 
du paiement]]="",IF(Tableau3453[[#This Row],[Jours]]&lt;30,Tableau3453[[#This Row],[Montant
de la facture
CHF]],""),"")</f>
        <v/>
      </c>
      <c r="O285" s="241" t="str">
        <f>IF(Tableau3453[[#This Row],[Date 
du paiement]]="",IF(Tableau3453[[#This Row],[Jours]]&gt;30,IF(Tableau3453[[#This Row],[Jours]]&lt;60,Tableau3453[[#This Row],[Montant
de la facture
CHF]],""),""),"")</f>
        <v/>
      </c>
      <c r="P285" s="241" t="str">
        <f>IF(Tableau3453[[#This Row],[Date 
du paiement]]="",IF(Tableau3453[[#This Row],[Jours]]&gt;60,Tableau3453[[#This Row],[Montant
de la facture
CHF]],""),"")</f>
        <v/>
      </c>
      <c r="Q285" s="249"/>
      <c r="R285" s="250" t="str">
        <f>Tableau3453[[#This Row],[Solde 
ouverte
fm]]</f>
        <v/>
      </c>
      <c r="S2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6" spans="1:19" hidden="1" outlineLevel="1" x14ac:dyDescent="0.25">
      <c r="A286" s="238">
        <v>240391</v>
      </c>
      <c r="B286" s="239" t="s">
        <v>860</v>
      </c>
      <c r="C286" s="352" t="str">
        <f>IF(Tableau3453[[#This Row],[Date 
du paiement]]="",IF(Tableau3453[[#This Row],[Jours]]&gt;Tableau3453[[#This Row],[Conditions
pmt+]]+5,"oui",""),"")</f>
        <v/>
      </c>
      <c r="D286" s="238" t="s">
        <v>1005</v>
      </c>
      <c r="E286" s="240">
        <v>45406</v>
      </c>
      <c r="F286" s="241">
        <v>1097.7</v>
      </c>
      <c r="G286" s="242" t="str">
        <f>IF(Tableau3453[[#This Row],[Date 
du paiement]]="",Tableau3453[[#This Row],[Montant
de la facture
CHF]],"")</f>
        <v/>
      </c>
      <c r="H286" s="243"/>
      <c r="I286" s="245">
        <v>45406</v>
      </c>
      <c r="J286" s="246">
        <v>45436</v>
      </c>
      <c r="K286" s="247" t="s">
        <v>58</v>
      </c>
      <c r="L286" s="248"/>
      <c r="M286" s="248">
        <f>IF(Tableau3453[[#This Row],[Date 
du paiement]]="",$D$4-Tableau3453[[#This Row],[Date
de la facture]],Tableau3453[[#This Row],[Date 
du paiement]]-Tableau3453[[#This Row],[Date
de la facture]])</f>
        <v>30</v>
      </c>
      <c r="N286" s="241" t="str">
        <f>IF(Tableau3453[[#This Row],[Date 
du paiement]]="",IF(Tableau3453[[#This Row],[Jours]]&lt;30,Tableau3453[[#This Row],[Montant
de la facture
CHF]],""),"")</f>
        <v/>
      </c>
      <c r="O286" s="241" t="str">
        <f>IF(Tableau3453[[#This Row],[Date 
du paiement]]="",IF(Tableau3453[[#This Row],[Jours]]&gt;30,IF(Tableau3453[[#This Row],[Jours]]&lt;60,Tableau3453[[#This Row],[Montant
de la facture
CHF]],""),""),"")</f>
        <v/>
      </c>
      <c r="P286" s="241" t="str">
        <f>IF(Tableau3453[[#This Row],[Date 
du paiement]]="",IF(Tableau3453[[#This Row],[Jours]]&gt;60,Tableau3453[[#This Row],[Montant
de la facture
CHF]],""),"")</f>
        <v/>
      </c>
      <c r="Q286" s="249"/>
      <c r="R286" s="250" t="str">
        <f>Tableau3453[[#This Row],[Solde 
ouverte
fm]]</f>
        <v/>
      </c>
      <c r="S2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7" spans="1:19" hidden="1" outlineLevel="1" x14ac:dyDescent="0.25">
      <c r="A287" s="238">
        <v>240418</v>
      </c>
      <c r="B287" s="239" t="s">
        <v>860</v>
      </c>
      <c r="C287" s="352" t="str">
        <f>IF(Tableau3453[[#This Row],[Date 
du paiement]]="",IF(Tableau3453[[#This Row],[Jours]]&gt;Tableau3453[[#This Row],[Conditions
pmt+]]+5,"oui",""),"")</f>
        <v/>
      </c>
      <c r="D287" s="238" t="s">
        <v>1006</v>
      </c>
      <c r="E287" s="240">
        <v>45406</v>
      </c>
      <c r="F287" s="241">
        <v>21.6</v>
      </c>
      <c r="G287" s="242" t="str">
        <f>IF(Tableau3453[[#This Row],[Date 
du paiement]]="",Tableau3453[[#This Row],[Montant
de la facture
CHF]],"")</f>
        <v/>
      </c>
      <c r="H287" s="243"/>
      <c r="I287" s="245">
        <v>45411</v>
      </c>
      <c r="J287" s="246">
        <v>45436</v>
      </c>
      <c r="K287" s="247" t="s">
        <v>58</v>
      </c>
      <c r="L287" s="248"/>
      <c r="M287" s="248">
        <f>IF(Tableau3453[[#This Row],[Date 
du paiement]]="",$D$4-Tableau3453[[#This Row],[Date
de la facture]],Tableau3453[[#This Row],[Date 
du paiement]]-Tableau3453[[#This Row],[Date
de la facture]])</f>
        <v>30</v>
      </c>
      <c r="N287" s="241" t="str">
        <f>IF(Tableau3453[[#This Row],[Date 
du paiement]]="",IF(Tableau3453[[#This Row],[Jours]]&lt;30,Tableau3453[[#This Row],[Montant
de la facture
CHF]],""),"")</f>
        <v/>
      </c>
      <c r="O287" s="241" t="str">
        <f>IF(Tableau3453[[#This Row],[Date 
du paiement]]="",IF(Tableau3453[[#This Row],[Jours]]&gt;30,IF(Tableau3453[[#This Row],[Jours]]&lt;60,Tableau3453[[#This Row],[Montant
de la facture
CHF]],""),""),"")</f>
        <v/>
      </c>
      <c r="P287" s="241" t="str">
        <f>IF(Tableau3453[[#This Row],[Date 
du paiement]]="",IF(Tableau3453[[#This Row],[Jours]]&gt;60,Tableau3453[[#This Row],[Montant
de la facture
CHF]],""),"")</f>
        <v/>
      </c>
      <c r="Q287" s="249"/>
      <c r="R287" s="250" t="str">
        <f>Tableau3453[[#This Row],[Solde 
ouverte
fm]]</f>
        <v/>
      </c>
      <c r="S28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8" spans="1:19" hidden="1" outlineLevel="1" x14ac:dyDescent="0.25">
      <c r="A288" s="238">
        <v>240419</v>
      </c>
      <c r="B288" s="239" t="s">
        <v>860</v>
      </c>
      <c r="C288" s="352" t="str">
        <f>IF(Tableau3453[[#This Row],[Date 
du paiement]]="",IF(Tableau3453[[#This Row],[Jours]]&gt;Tableau3453[[#This Row],[Conditions
pmt+]]+5,"oui",""),"")</f>
        <v/>
      </c>
      <c r="D288" s="238" t="s">
        <v>995</v>
      </c>
      <c r="E288" s="240">
        <v>45407</v>
      </c>
      <c r="F288" s="241">
        <v>1277.5999999999999</v>
      </c>
      <c r="G288" s="242" t="str">
        <f>IF(Tableau3453[[#This Row],[Date 
du paiement]]="",Tableau3453[[#This Row],[Montant
de la facture
CHF]],"")</f>
        <v/>
      </c>
      <c r="H288" s="243" t="s">
        <v>996</v>
      </c>
      <c r="I288" s="245">
        <v>45412</v>
      </c>
      <c r="J288" s="246">
        <v>45460</v>
      </c>
      <c r="K288" s="247" t="s">
        <v>58</v>
      </c>
      <c r="L288" s="248">
        <v>3</v>
      </c>
      <c r="M288" s="248">
        <f>IF(Tableau3453[[#This Row],[Date 
du paiement]]="",$D$4-Tableau3453[[#This Row],[Date
de la facture]],Tableau3453[[#This Row],[Date 
du paiement]]-Tableau3453[[#This Row],[Date
de la facture]])</f>
        <v>53</v>
      </c>
      <c r="N288" s="241" t="str">
        <f>IF(Tableau3453[[#This Row],[Date 
du paiement]]="",IF(Tableau3453[[#This Row],[Jours]]&lt;30,Tableau3453[[#This Row],[Montant
de la facture
CHF]],""),"")</f>
        <v/>
      </c>
      <c r="O288" s="241" t="str">
        <f>IF(Tableau3453[[#This Row],[Date 
du paiement]]="",IF(Tableau3453[[#This Row],[Jours]]&gt;30,IF(Tableau3453[[#This Row],[Jours]]&lt;60,Tableau3453[[#This Row],[Montant
de la facture
CHF]],""),""),"")</f>
        <v/>
      </c>
      <c r="P288" s="241" t="str">
        <f>IF(Tableau3453[[#This Row],[Date 
du paiement]]="",IF(Tableau3453[[#This Row],[Jours]]&gt;60,Tableau3453[[#This Row],[Montant
de la facture
CHF]],""),"")</f>
        <v/>
      </c>
      <c r="Q288" s="249" t="s">
        <v>997</v>
      </c>
      <c r="R288" s="250" t="str">
        <f>Tableau3453[[#This Row],[Solde 
ouverte
fm]]</f>
        <v/>
      </c>
      <c r="S28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89" spans="1:19" hidden="1" outlineLevel="1" x14ac:dyDescent="0.25">
      <c r="A289" s="238">
        <v>240420</v>
      </c>
      <c r="B289" s="239" t="s">
        <v>860</v>
      </c>
      <c r="C289" s="352" t="str">
        <f>IF(Tableau3453[[#This Row],[Date 
du paiement]]="",IF(Tableau3453[[#This Row],[Jours]]&gt;Tableau3453[[#This Row],[Conditions
pmt+]]+5,"oui",""),"")</f>
        <v/>
      </c>
      <c r="D289" s="238" t="s">
        <v>891</v>
      </c>
      <c r="E289" s="240">
        <v>45407</v>
      </c>
      <c r="F289" s="241">
        <v>86.45</v>
      </c>
      <c r="G289" s="242" t="str">
        <f>IF(Tableau3453[[#This Row],[Date 
du paiement]]="",Tableau3453[[#This Row],[Montant
de la facture
CHF]],"")</f>
        <v/>
      </c>
      <c r="H289" s="243"/>
      <c r="I289" s="245">
        <v>45411</v>
      </c>
      <c r="J289" s="246">
        <v>45448</v>
      </c>
      <c r="K289" s="247" t="s">
        <v>58</v>
      </c>
      <c r="L289" s="248">
        <v>2</v>
      </c>
      <c r="M289" s="248">
        <f>IF(Tableau3453[[#This Row],[Date 
du paiement]]="",$D$4-Tableau3453[[#This Row],[Date
de la facture]],Tableau3453[[#This Row],[Date 
du paiement]]-Tableau3453[[#This Row],[Date
de la facture]])</f>
        <v>41</v>
      </c>
      <c r="N289" s="241" t="str">
        <f>IF(Tableau3453[[#This Row],[Date 
du paiement]]="",IF(Tableau3453[[#This Row],[Jours]]&lt;30,Tableau3453[[#This Row],[Montant
de la facture
CHF]],""),"")</f>
        <v/>
      </c>
      <c r="O289" s="241" t="str">
        <f>IF(Tableau3453[[#This Row],[Date 
du paiement]]="",IF(Tableau3453[[#This Row],[Jours]]&gt;30,IF(Tableau3453[[#This Row],[Jours]]&lt;60,Tableau3453[[#This Row],[Montant
de la facture
CHF]],""),""),"")</f>
        <v/>
      </c>
      <c r="P289" s="241" t="str">
        <f>IF(Tableau3453[[#This Row],[Date 
du paiement]]="",IF(Tableau3453[[#This Row],[Jours]]&gt;60,Tableau3453[[#This Row],[Montant
de la facture
CHF]],""),"")</f>
        <v/>
      </c>
      <c r="Q289" s="249"/>
      <c r="R289" s="250" t="str">
        <f>Tableau3453[[#This Row],[Solde 
ouverte
fm]]</f>
        <v/>
      </c>
      <c r="S28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0" spans="1:19" hidden="1" outlineLevel="1" x14ac:dyDescent="0.25">
      <c r="A290" s="238">
        <v>240424</v>
      </c>
      <c r="B290" s="239" t="s">
        <v>860</v>
      </c>
      <c r="C290" s="352" t="str">
        <f>IF(Tableau3453[[#This Row],[Date 
du paiement]]="",IF(Tableau3453[[#This Row],[Jours]]&gt;Tableau3453[[#This Row],[Conditions
pmt+]]+5,"oui",""),"")</f>
        <v/>
      </c>
      <c r="D290" s="238" t="s">
        <v>995</v>
      </c>
      <c r="E290" s="240">
        <v>45408</v>
      </c>
      <c r="F290" s="241">
        <v>206.75</v>
      </c>
      <c r="G290" s="242" t="str">
        <f>IF(Tableau3453[[#This Row],[Date 
du paiement]]="",Tableau3453[[#This Row],[Montant
de la facture
CHF]],"")</f>
        <v/>
      </c>
      <c r="H290" s="243"/>
      <c r="I290" s="245">
        <v>45412</v>
      </c>
      <c r="J290" s="246">
        <v>45455</v>
      </c>
      <c r="K290" s="247" t="s">
        <v>58</v>
      </c>
      <c r="L290" s="248">
        <v>3</v>
      </c>
      <c r="M290" s="248">
        <f>IF(Tableau3453[[#This Row],[Date 
du paiement]]="",$D$4-Tableau3453[[#This Row],[Date
de la facture]],Tableau3453[[#This Row],[Date 
du paiement]]-Tableau3453[[#This Row],[Date
de la facture]])</f>
        <v>47</v>
      </c>
      <c r="N290" s="241" t="str">
        <f>IF(Tableau3453[[#This Row],[Date 
du paiement]]="",IF(Tableau3453[[#This Row],[Jours]]&lt;30,Tableau3453[[#This Row],[Montant
de la facture
CHF]],""),"")</f>
        <v/>
      </c>
      <c r="O290" s="241" t="str">
        <f>IF(Tableau3453[[#This Row],[Date 
du paiement]]="",IF(Tableau3453[[#This Row],[Jours]]&gt;30,IF(Tableau3453[[#This Row],[Jours]]&lt;60,Tableau3453[[#This Row],[Montant
de la facture
CHF]],""),""),"")</f>
        <v/>
      </c>
      <c r="P290" s="241" t="str">
        <f>IF(Tableau3453[[#This Row],[Date 
du paiement]]="",IF(Tableau3453[[#This Row],[Jours]]&gt;60,Tableau3453[[#This Row],[Montant
de la facture
CHF]],""),"")</f>
        <v/>
      </c>
      <c r="Q290" s="249" t="s">
        <v>997</v>
      </c>
      <c r="R290" s="250" t="str">
        <f>Tableau3453[[#This Row],[Solde 
ouverte
fm]]</f>
        <v/>
      </c>
      <c r="S2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1" spans="1:19" hidden="1" outlineLevel="1" x14ac:dyDescent="0.25">
      <c r="A291" s="238">
        <v>240432</v>
      </c>
      <c r="B291" s="239" t="s">
        <v>860</v>
      </c>
      <c r="C291" s="352" t="str">
        <f>IF(Tableau3453[[#This Row],[Date 
du paiement]]="",IF(Tableau3453[[#This Row],[Jours]]&gt;Tableau3453[[#This Row],[Conditions
pmt+]]+5,"oui",""),"")</f>
        <v/>
      </c>
      <c r="D291" s="238" t="s">
        <v>995</v>
      </c>
      <c r="E291" s="240">
        <v>45408</v>
      </c>
      <c r="F291" s="241">
        <v>439.95</v>
      </c>
      <c r="G291" s="242" t="str">
        <f>IF(Tableau3453[[#This Row],[Date 
du paiement]]="",Tableau3453[[#This Row],[Montant
de la facture
CHF]],"")</f>
        <v/>
      </c>
      <c r="H291" s="243"/>
      <c r="I291" s="245">
        <v>45411</v>
      </c>
      <c r="J291" s="246">
        <v>45455</v>
      </c>
      <c r="K291" s="247" t="s">
        <v>58</v>
      </c>
      <c r="L291" s="248">
        <v>3</v>
      </c>
      <c r="M291" s="248">
        <f>IF(Tableau3453[[#This Row],[Date 
du paiement]]="",$D$4-Tableau3453[[#This Row],[Date
de la facture]],Tableau3453[[#This Row],[Date 
du paiement]]-Tableau3453[[#This Row],[Date
de la facture]])</f>
        <v>47</v>
      </c>
      <c r="N291" s="241" t="str">
        <f>IF(Tableau3453[[#This Row],[Date 
du paiement]]="",IF(Tableau3453[[#This Row],[Jours]]&lt;30,Tableau3453[[#This Row],[Montant
de la facture
CHF]],""),"")</f>
        <v/>
      </c>
      <c r="O291" s="241" t="str">
        <f>IF(Tableau3453[[#This Row],[Date 
du paiement]]="",IF(Tableau3453[[#This Row],[Jours]]&gt;30,IF(Tableau3453[[#This Row],[Jours]]&lt;60,Tableau3453[[#This Row],[Montant
de la facture
CHF]],""),""),"")</f>
        <v/>
      </c>
      <c r="P291" s="241" t="str">
        <f>IF(Tableau3453[[#This Row],[Date 
du paiement]]="",IF(Tableau3453[[#This Row],[Jours]]&gt;60,Tableau3453[[#This Row],[Montant
de la facture
CHF]],""),"")</f>
        <v/>
      </c>
      <c r="Q291" s="249" t="s">
        <v>997</v>
      </c>
      <c r="R291" s="250" t="str">
        <f>Tableau3453[[#This Row],[Solde 
ouverte
fm]]</f>
        <v/>
      </c>
      <c r="S2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2" spans="1:19" hidden="1" outlineLevel="1" x14ac:dyDescent="0.25">
      <c r="A292" s="238">
        <v>240404</v>
      </c>
      <c r="B292" s="239" t="s">
        <v>860</v>
      </c>
      <c r="C292" s="352" t="str">
        <f>IF(Tableau3453[[#This Row],[Date 
du paiement]]="",IF(Tableau3453[[#This Row],[Jours]]&gt;Tableau3453[[#This Row],[Conditions
pmt+]]+5,"oui",""),"")</f>
        <v/>
      </c>
      <c r="D292" s="238" t="s">
        <v>919</v>
      </c>
      <c r="E292" s="240">
        <v>45408</v>
      </c>
      <c r="F292" s="241">
        <v>295.10000000000002</v>
      </c>
      <c r="G292" s="242" t="str">
        <f>IF(Tableau3453[[#This Row],[Date 
du paiement]]="",Tableau3453[[#This Row],[Montant
de la facture
CHF]],"")</f>
        <v/>
      </c>
      <c r="H292" s="243"/>
      <c r="I292" s="245">
        <v>45412</v>
      </c>
      <c r="J292" s="246">
        <v>45464</v>
      </c>
      <c r="K292" s="247" t="s">
        <v>58</v>
      </c>
      <c r="L292" s="248">
        <v>4</v>
      </c>
      <c r="M292" s="248">
        <f>IF(Tableau3453[[#This Row],[Date 
du paiement]]="",$D$4-Tableau3453[[#This Row],[Date
de la facture]],Tableau3453[[#This Row],[Date 
du paiement]]-Tableau3453[[#This Row],[Date
de la facture]])</f>
        <v>56</v>
      </c>
      <c r="N292" s="241" t="str">
        <f>IF(Tableau3453[[#This Row],[Date 
du paiement]]="",IF(Tableau3453[[#This Row],[Jours]]&lt;30,Tableau3453[[#This Row],[Montant
de la facture
CHF]],""),"")</f>
        <v/>
      </c>
      <c r="O292" s="241" t="str">
        <f>IF(Tableau3453[[#This Row],[Date 
du paiement]]="",IF(Tableau3453[[#This Row],[Jours]]&gt;30,IF(Tableau3453[[#This Row],[Jours]]&lt;60,Tableau3453[[#This Row],[Montant
de la facture
CHF]],""),""),"")</f>
        <v/>
      </c>
      <c r="P292" s="241" t="str">
        <f>IF(Tableau3453[[#This Row],[Date 
du paiement]]="",IF(Tableau3453[[#This Row],[Jours]]&gt;60,Tableau3453[[#This Row],[Montant
de la facture
CHF]],""),"")</f>
        <v/>
      </c>
      <c r="Q292" s="249" t="s">
        <v>1029</v>
      </c>
      <c r="R292" s="250" t="str">
        <f>Tableau3453[[#This Row],[Solde 
ouverte
fm]]</f>
        <v/>
      </c>
      <c r="S29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3" spans="1:19" hidden="1" outlineLevel="1" x14ac:dyDescent="0.25">
      <c r="A293" s="238">
        <v>240405</v>
      </c>
      <c r="B293" s="239" t="s">
        <v>860</v>
      </c>
      <c r="C293" s="352" t="str">
        <f>IF(Tableau3453[[#This Row],[Date 
du paiement]]="",IF(Tableau3453[[#This Row],[Jours]]&gt;Tableau3453[[#This Row],[Conditions
pmt+]]+5,"oui",""),"")</f>
        <v/>
      </c>
      <c r="D293" s="238" t="s">
        <v>919</v>
      </c>
      <c r="E293" s="240">
        <v>45408</v>
      </c>
      <c r="F293" s="241">
        <v>992.75</v>
      </c>
      <c r="G293" s="242" t="str">
        <f>IF(Tableau3453[[#This Row],[Date 
du paiement]]="",Tableau3453[[#This Row],[Montant
de la facture
CHF]],"")</f>
        <v/>
      </c>
      <c r="H293" s="243"/>
      <c r="I293" s="245">
        <v>45412</v>
      </c>
      <c r="J293" s="246">
        <v>45450</v>
      </c>
      <c r="K293" s="247" t="s">
        <v>58</v>
      </c>
      <c r="L293" s="248">
        <v>2</v>
      </c>
      <c r="M293" s="248">
        <f>IF(Tableau3453[[#This Row],[Date 
du paiement]]="",$D$4-Tableau3453[[#This Row],[Date
de la facture]],Tableau3453[[#This Row],[Date 
du paiement]]-Tableau3453[[#This Row],[Date
de la facture]])</f>
        <v>42</v>
      </c>
      <c r="N293" s="241" t="str">
        <f>IF(Tableau3453[[#This Row],[Date 
du paiement]]="",IF(Tableau3453[[#This Row],[Jours]]&lt;30,Tableau3453[[#This Row],[Montant
de la facture
CHF]],""),"")</f>
        <v/>
      </c>
      <c r="O293" s="241" t="str">
        <f>IF(Tableau3453[[#This Row],[Date 
du paiement]]="",IF(Tableau3453[[#This Row],[Jours]]&gt;30,IF(Tableau3453[[#This Row],[Jours]]&lt;60,Tableau3453[[#This Row],[Montant
de la facture
CHF]],""),""),"")</f>
        <v/>
      </c>
      <c r="P293" s="241" t="str">
        <f>IF(Tableau3453[[#This Row],[Date 
du paiement]]="",IF(Tableau3453[[#This Row],[Jours]]&gt;60,Tableau3453[[#This Row],[Montant
de la facture
CHF]],""),"")</f>
        <v/>
      </c>
      <c r="Q293" s="249"/>
      <c r="R293" s="250" t="str">
        <f>Tableau3453[[#This Row],[Solde 
ouverte
fm]]</f>
        <v/>
      </c>
      <c r="S29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4" spans="1:19" hidden="1" outlineLevel="1" x14ac:dyDescent="0.25">
      <c r="A294" s="238">
        <v>240321</v>
      </c>
      <c r="B294" s="239" t="s">
        <v>860</v>
      </c>
      <c r="C294" s="352" t="str">
        <f>IF(Tableau3453[[#This Row],[Date 
du paiement]]="",IF(Tableau3453[[#This Row],[Jours]]&gt;Tableau3453[[#This Row],[Conditions
pmt+]]+5,"oui",""),"")</f>
        <v/>
      </c>
      <c r="D294" s="238" t="s">
        <v>872</v>
      </c>
      <c r="E294" s="240">
        <v>45408</v>
      </c>
      <c r="F294" s="241">
        <v>16319.1</v>
      </c>
      <c r="G294" s="242" t="str">
        <f>IF(Tableau3453[[#This Row],[Date 
du paiement]]="",Tableau3453[[#This Row],[Montant
de la facture
CHF]],"")</f>
        <v/>
      </c>
      <c r="H294" s="243"/>
      <c r="I294" s="245">
        <v>45419</v>
      </c>
      <c r="J294" s="246">
        <v>45449</v>
      </c>
      <c r="K294" s="247" t="s">
        <v>58</v>
      </c>
      <c r="L294" s="248">
        <v>1</v>
      </c>
      <c r="M294" s="248">
        <f>IF(Tableau3453[[#This Row],[Date 
du paiement]]="",$D$4-Tableau3453[[#This Row],[Date
de la facture]],Tableau3453[[#This Row],[Date 
du paiement]]-Tableau3453[[#This Row],[Date
de la facture]])</f>
        <v>41</v>
      </c>
      <c r="N294" s="241" t="str">
        <f>IF(Tableau3453[[#This Row],[Date 
du paiement]]="",IF(Tableau3453[[#This Row],[Jours]]&lt;30,Tableau3453[[#This Row],[Montant
de la facture
CHF]],""),"")</f>
        <v/>
      </c>
      <c r="O294" s="241" t="str">
        <f>IF(Tableau3453[[#This Row],[Date 
du paiement]]="",IF(Tableau3453[[#This Row],[Jours]]&gt;30,IF(Tableau3453[[#This Row],[Jours]]&lt;60,Tableau3453[[#This Row],[Montant
de la facture
CHF]],""),""),"")</f>
        <v/>
      </c>
      <c r="P294" s="241" t="str">
        <f>IF(Tableau3453[[#This Row],[Date 
du paiement]]="",IF(Tableau3453[[#This Row],[Jours]]&gt;60,Tableau3453[[#This Row],[Montant
de la facture
CHF]],""),"")</f>
        <v/>
      </c>
      <c r="Q294" s="259" t="s">
        <v>1008</v>
      </c>
      <c r="R294" s="250" t="str">
        <f>Tableau3453[[#This Row],[Solde 
ouverte
fm]]</f>
        <v/>
      </c>
      <c r="S29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5" spans="1:19" hidden="1" outlineLevel="1" x14ac:dyDescent="0.25">
      <c r="A295" s="238">
        <v>240435</v>
      </c>
      <c r="B295" s="239" t="s">
        <v>860</v>
      </c>
      <c r="C295" s="352" t="str">
        <f>IF(Tableau3453[[#This Row],[Date 
du paiement]]="",IF(Tableau3453[[#This Row],[Jours]]&gt;Tableau3453[[#This Row],[Conditions
pmt+]]+5,"oui",""),"")</f>
        <v/>
      </c>
      <c r="D295" s="251" t="s">
        <v>1009</v>
      </c>
      <c r="E295" s="240">
        <v>45408</v>
      </c>
      <c r="F295" s="241">
        <v>36709.949999999997</v>
      </c>
      <c r="G295" s="242" t="str">
        <f>IF(Tableau3453[[#This Row],[Date 
du paiement]]="",Tableau3453[[#This Row],[Montant
de la facture
CHF]],"")</f>
        <v/>
      </c>
      <c r="H295" s="243"/>
      <c r="I295" s="245">
        <v>45408</v>
      </c>
      <c r="J295" s="246">
        <v>45422</v>
      </c>
      <c r="K295" s="247" t="s">
        <v>58</v>
      </c>
      <c r="L295" s="248"/>
      <c r="M295" s="248">
        <f>IF(Tableau3453[[#This Row],[Date 
du paiement]]="",$D$4-Tableau3453[[#This Row],[Date
de la facture]],Tableau3453[[#This Row],[Date 
du paiement]]-Tableau3453[[#This Row],[Date
de la facture]])</f>
        <v>14</v>
      </c>
      <c r="N295" s="241" t="str">
        <f>IF(Tableau3453[[#This Row],[Date 
du paiement]]="",IF(Tableau3453[[#This Row],[Jours]]&lt;30,Tableau3453[[#This Row],[Montant
de la facture
CHF]],""),"")</f>
        <v/>
      </c>
      <c r="O295" s="241" t="str">
        <f>IF(Tableau3453[[#This Row],[Date 
du paiement]]="",IF(Tableau3453[[#This Row],[Jours]]&gt;30,IF(Tableau3453[[#This Row],[Jours]]&lt;60,Tableau3453[[#This Row],[Montant
de la facture
CHF]],""),""),"")</f>
        <v/>
      </c>
      <c r="P295" s="241" t="str">
        <f>IF(Tableau3453[[#This Row],[Date 
du paiement]]="",IF(Tableau3453[[#This Row],[Jours]]&gt;60,Tableau3453[[#This Row],[Montant
de la facture
CHF]],""),"")</f>
        <v/>
      </c>
      <c r="Q295" s="249"/>
      <c r="R295" s="250" t="str">
        <f>Tableau3453[[#This Row],[Solde 
ouverte
fm]]</f>
        <v/>
      </c>
      <c r="S29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6" spans="1:19" hidden="1" outlineLevel="1" x14ac:dyDescent="0.25">
      <c r="A296" s="238">
        <v>240409</v>
      </c>
      <c r="B296" s="239" t="s">
        <v>857</v>
      </c>
      <c r="C296" s="352" t="str">
        <f>IF(Tableau3453[[#This Row],[Date 
du paiement]]="",IF(Tableau3453[[#This Row],[Jours]]&gt;Tableau3453[[#This Row],[Conditions
pmt+]]+5,"oui",""),"")</f>
        <v/>
      </c>
      <c r="D296" s="238" t="s">
        <v>895</v>
      </c>
      <c r="E296" s="240">
        <v>45411</v>
      </c>
      <c r="F296" s="241">
        <v>1110.75</v>
      </c>
      <c r="G296" s="242" t="str">
        <f>IF(Tableau3453[[#This Row],[Date 
du paiement]]="",Tableau3453[[#This Row],[Montant
de la facture
CHF]],"")</f>
        <v/>
      </c>
      <c r="H296" s="243"/>
      <c r="I296" s="245">
        <v>45412</v>
      </c>
      <c r="J296" s="246">
        <v>45447</v>
      </c>
      <c r="K296" s="247" t="s">
        <v>58</v>
      </c>
      <c r="L296" s="248"/>
      <c r="M296" s="248">
        <f>IF(Tableau3453[[#This Row],[Date 
du paiement]]="",$D$4-Tableau3453[[#This Row],[Date
de la facture]],Tableau3453[[#This Row],[Date 
du paiement]]-Tableau3453[[#This Row],[Date
de la facture]])</f>
        <v>36</v>
      </c>
      <c r="N296" s="241" t="str">
        <f>IF(Tableau3453[[#This Row],[Date 
du paiement]]="",IF(Tableau3453[[#This Row],[Jours]]&lt;30,Tableau3453[[#This Row],[Montant
de la facture
CHF]],""),"")</f>
        <v/>
      </c>
      <c r="O296" s="241" t="str">
        <f>IF(Tableau3453[[#This Row],[Date 
du paiement]]="",IF(Tableau3453[[#This Row],[Jours]]&gt;30,IF(Tableau3453[[#This Row],[Jours]]&lt;60,Tableau3453[[#This Row],[Montant
de la facture
CHF]],""),""),"")</f>
        <v/>
      </c>
      <c r="P296" s="241" t="str">
        <f>IF(Tableau3453[[#This Row],[Date 
du paiement]]="",IF(Tableau3453[[#This Row],[Jours]]&gt;60,Tableau3453[[#This Row],[Montant
de la facture
CHF]],""),"")</f>
        <v/>
      </c>
      <c r="Q296" s="249"/>
      <c r="R296" s="250" t="str">
        <f>Tableau3453[[#This Row],[Solde 
ouverte
fm]]</f>
        <v/>
      </c>
      <c r="S29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7" spans="1:19" hidden="1" outlineLevel="1" x14ac:dyDescent="0.25">
      <c r="A297" s="238">
        <v>240411</v>
      </c>
      <c r="B297" s="239" t="s">
        <v>860</v>
      </c>
      <c r="C297" s="352" t="str">
        <f>IF(Tableau3453[[#This Row],[Date 
du paiement]]="",IF(Tableau3453[[#This Row],[Jours]]&gt;Tableau3453[[#This Row],[Conditions
pmt+]]+5,"oui",""),"")</f>
        <v/>
      </c>
      <c r="D297" s="238" t="s">
        <v>901</v>
      </c>
      <c r="E297" s="240">
        <v>45411</v>
      </c>
      <c r="F297" s="241">
        <v>2451.3000000000002</v>
      </c>
      <c r="G297" s="242" t="str">
        <f>IF(Tableau3453[[#This Row],[Date 
du paiement]]="",Tableau3453[[#This Row],[Montant
de la facture
CHF]],"")</f>
        <v/>
      </c>
      <c r="H297" s="243"/>
      <c r="I297" s="245">
        <v>45411</v>
      </c>
      <c r="J297" s="246">
        <v>45441</v>
      </c>
      <c r="K297" s="247" t="s">
        <v>58</v>
      </c>
      <c r="L297" s="248"/>
      <c r="M297" s="248">
        <f>IF(Tableau3453[[#This Row],[Date 
du paiement]]="",$D$4-Tableau3453[[#This Row],[Date
de la facture]],Tableau3453[[#This Row],[Date 
du paiement]]-Tableau3453[[#This Row],[Date
de la facture]])</f>
        <v>30</v>
      </c>
      <c r="N297" s="241" t="str">
        <f>IF(Tableau3453[[#This Row],[Date 
du paiement]]="",IF(Tableau3453[[#This Row],[Jours]]&lt;30,Tableau3453[[#This Row],[Montant
de la facture
CHF]],""),"")</f>
        <v/>
      </c>
      <c r="O297" s="241" t="str">
        <f>IF(Tableau3453[[#This Row],[Date 
du paiement]]="",IF(Tableau3453[[#This Row],[Jours]]&gt;30,IF(Tableau3453[[#This Row],[Jours]]&lt;60,Tableau3453[[#This Row],[Montant
de la facture
CHF]],""),""),"")</f>
        <v/>
      </c>
      <c r="P297" s="241" t="str">
        <f>IF(Tableau3453[[#This Row],[Date 
du paiement]]="",IF(Tableau3453[[#This Row],[Jours]]&gt;60,Tableau3453[[#This Row],[Montant
de la facture
CHF]],""),"")</f>
        <v/>
      </c>
      <c r="Q297" s="249"/>
      <c r="R297" s="250" t="str">
        <f>Tableau3453[[#This Row],[Solde 
ouverte
fm]]</f>
        <v/>
      </c>
      <c r="S29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8" spans="1:19" hidden="1" outlineLevel="1" x14ac:dyDescent="0.25">
      <c r="A298" s="238">
        <v>240439</v>
      </c>
      <c r="B298" s="239" t="s">
        <v>860</v>
      </c>
      <c r="C298" s="352" t="str">
        <f>IF(Tableau3453[[#This Row],[Date 
du paiement]]="",IF(Tableau3453[[#This Row],[Jours]]&gt;Tableau3453[[#This Row],[Conditions
pmt+]]+5,"oui",""),"")</f>
        <v/>
      </c>
      <c r="D298" s="238" t="s">
        <v>995</v>
      </c>
      <c r="E298" s="240">
        <v>45412</v>
      </c>
      <c r="F298" s="241">
        <v>425.85</v>
      </c>
      <c r="G298" s="242" t="str">
        <f>IF(Tableau3453[[#This Row],[Date 
du paiement]]="",Tableau3453[[#This Row],[Montant
de la facture
CHF]],"")</f>
        <v/>
      </c>
      <c r="H298" s="243"/>
      <c r="I298" s="245">
        <v>45412</v>
      </c>
      <c r="J298" s="246">
        <v>45455</v>
      </c>
      <c r="K298" s="247" t="s">
        <v>58</v>
      </c>
      <c r="L298" s="248">
        <v>3</v>
      </c>
      <c r="M298" s="248">
        <f>IF(Tableau3453[[#This Row],[Date 
du paiement]]="",$D$4-Tableau3453[[#This Row],[Date
de la facture]],Tableau3453[[#This Row],[Date 
du paiement]]-Tableau3453[[#This Row],[Date
de la facture]])</f>
        <v>43</v>
      </c>
      <c r="N298" s="241" t="str">
        <f>IF(Tableau3453[[#This Row],[Date 
du paiement]]="",IF(Tableau3453[[#This Row],[Jours]]&lt;30,Tableau3453[[#This Row],[Montant
de la facture
CHF]],""),"")</f>
        <v/>
      </c>
      <c r="O298" s="241" t="str">
        <f>IF(Tableau3453[[#This Row],[Date 
du paiement]]="",IF(Tableau3453[[#This Row],[Jours]]&gt;30,IF(Tableau3453[[#This Row],[Jours]]&lt;60,Tableau3453[[#This Row],[Montant
de la facture
CHF]],""),""),"")</f>
        <v/>
      </c>
      <c r="P298" s="241" t="str">
        <f>IF(Tableau3453[[#This Row],[Date 
du paiement]]="",IF(Tableau3453[[#This Row],[Jours]]&gt;60,Tableau3453[[#This Row],[Montant
de la facture
CHF]],""),"")</f>
        <v/>
      </c>
      <c r="Q298" s="249" t="s">
        <v>997</v>
      </c>
      <c r="R298" s="250" t="str">
        <f>Tableau3453[[#This Row],[Solde 
ouverte
fm]]</f>
        <v/>
      </c>
      <c r="S29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299" spans="1:19" hidden="1" outlineLevel="1" x14ac:dyDescent="0.25">
      <c r="A299" s="238">
        <v>240239</v>
      </c>
      <c r="B299" s="239" t="s">
        <v>860</v>
      </c>
      <c r="C299" s="352" t="str">
        <f>IF(Tableau3453[[#This Row],[Date 
du paiement]]="",IF(Tableau3453[[#This Row],[Jours]]&gt;Tableau3453[[#This Row],[Conditions
pmt+]]+5,"oui",""),"")</f>
        <v/>
      </c>
      <c r="D299" s="238" t="s">
        <v>934</v>
      </c>
      <c r="E299" s="240">
        <v>45412</v>
      </c>
      <c r="F299" s="241">
        <v>10851.95</v>
      </c>
      <c r="G299" s="242" t="str">
        <f>IF(Tableau3453[[#This Row],[Date 
du paiement]]="",Tableau3453[[#This Row],[Montant
de la facture
CHF]],"")</f>
        <v/>
      </c>
      <c r="H299" s="243"/>
      <c r="I299" s="245">
        <v>45419</v>
      </c>
      <c r="J299" s="246">
        <v>45446</v>
      </c>
      <c r="K299" s="247" t="s">
        <v>58</v>
      </c>
      <c r="L299" s="248"/>
      <c r="M299" s="248">
        <f>IF(Tableau3453[[#This Row],[Date 
du paiement]]="",$D$4-Tableau3453[[#This Row],[Date
de la facture]],Tableau3453[[#This Row],[Date 
du paiement]]-Tableau3453[[#This Row],[Date
de la facture]])</f>
        <v>34</v>
      </c>
      <c r="N299" s="241" t="str">
        <f>IF(Tableau3453[[#This Row],[Date 
du paiement]]="",IF(Tableau3453[[#This Row],[Jours]]&lt;30,Tableau3453[[#This Row],[Montant
de la facture
CHF]],""),"")</f>
        <v/>
      </c>
      <c r="O299" s="241" t="str">
        <f>IF(Tableau3453[[#This Row],[Date 
du paiement]]="",IF(Tableau3453[[#This Row],[Jours]]&gt;30,IF(Tableau3453[[#This Row],[Jours]]&lt;60,Tableau3453[[#This Row],[Montant
de la facture
CHF]],""),""),"")</f>
        <v/>
      </c>
      <c r="P299" s="241" t="str">
        <f>IF(Tableau3453[[#This Row],[Date 
du paiement]]="",IF(Tableau3453[[#This Row],[Jours]]&gt;60,Tableau3453[[#This Row],[Montant
de la facture
CHF]],""),"")</f>
        <v/>
      </c>
      <c r="Q299" s="249"/>
      <c r="R299" s="250" t="str">
        <f>Tableau3453[[#This Row],[Solde 
ouverte
fm]]</f>
        <v/>
      </c>
      <c r="S29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0" spans="1:19" hidden="1" outlineLevel="1" x14ac:dyDescent="0.25">
      <c r="A300" s="238">
        <v>240440</v>
      </c>
      <c r="B300" s="239" t="s">
        <v>860</v>
      </c>
      <c r="C300" s="352" t="str">
        <f>IF(Tableau3453[[#This Row],[Date 
du paiement]]="",IF(Tableau3453[[#This Row],[Jours]]&gt;Tableau3453[[#This Row],[Conditions
pmt+]]+5,"oui",""),"")</f>
        <v/>
      </c>
      <c r="D300" s="238" t="s">
        <v>879</v>
      </c>
      <c r="E300" s="240">
        <v>45412</v>
      </c>
      <c r="F300" s="241">
        <v>229.85</v>
      </c>
      <c r="G300" s="242" t="str">
        <f>IF(Tableau3453[[#This Row],[Date 
du paiement]]="",Tableau3453[[#This Row],[Montant
de la facture
CHF]],"")</f>
        <v/>
      </c>
      <c r="H300" s="243"/>
      <c r="I300" s="245">
        <v>45419</v>
      </c>
      <c r="J300" s="246">
        <v>45434</v>
      </c>
      <c r="K300" s="247" t="s">
        <v>58</v>
      </c>
      <c r="L300" s="248"/>
      <c r="M300" s="248">
        <f>IF(Tableau3453[[#This Row],[Date 
du paiement]]="",$D$4-Tableau3453[[#This Row],[Date
de la facture]],Tableau3453[[#This Row],[Date 
du paiement]]-Tableau3453[[#This Row],[Date
de la facture]])</f>
        <v>22</v>
      </c>
      <c r="N300" s="241" t="str">
        <f>IF(Tableau3453[[#This Row],[Date 
du paiement]]="",IF(Tableau3453[[#This Row],[Jours]]&lt;30,Tableau3453[[#This Row],[Montant
de la facture
CHF]],""),"")</f>
        <v/>
      </c>
      <c r="O300" s="241" t="str">
        <f>IF(Tableau3453[[#This Row],[Date 
du paiement]]="",IF(Tableau3453[[#This Row],[Jours]]&gt;30,IF(Tableau3453[[#This Row],[Jours]]&lt;60,Tableau3453[[#This Row],[Montant
de la facture
CHF]],""),""),"")</f>
        <v/>
      </c>
      <c r="P300" s="241" t="str">
        <f>IF(Tableau3453[[#This Row],[Date 
du paiement]]="",IF(Tableau3453[[#This Row],[Jours]]&gt;60,Tableau3453[[#This Row],[Montant
de la facture
CHF]],""),"")</f>
        <v/>
      </c>
      <c r="Q300" s="249"/>
      <c r="R300" s="250" t="str">
        <f>Tableau3453[[#This Row],[Solde 
ouverte
fm]]</f>
        <v/>
      </c>
      <c r="S30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1" spans="1:19" hidden="1" outlineLevel="1" x14ac:dyDescent="0.25">
      <c r="A301" s="238">
        <v>240416</v>
      </c>
      <c r="B301" s="239" t="s">
        <v>860</v>
      </c>
      <c r="C301" s="352" t="str">
        <f>IF(Tableau3453[[#This Row],[Date 
du paiement]]="",IF(Tableau3453[[#This Row],[Jours]]&gt;Tableau3453[[#This Row],[Conditions
pmt+]]+5,"oui",""),"")</f>
        <v/>
      </c>
      <c r="D301" s="238" t="s">
        <v>941</v>
      </c>
      <c r="E301" s="240">
        <v>45412</v>
      </c>
      <c r="F301" s="241">
        <v>1778.05</v>
      </c>
      <c r="G301" s="242" t="str">
        <f>IF(Tableau3453[[#This Row],[Date 
du paiement]]="",Tableau3453[[#This Row],[Montant
de la facture
CHF]],"")</f>
        <v/>
      </c>
      <c r="H301" s="243"/>
      <c r="I301" s="245">
        <v>45412</v>
      </c>
      <c r="J301" s="246">
        <v>45427</v>
      </c>
      <c r="K301" s="247" t="s">
        <v>58</v>
      </c>
      <c r="L301" s="248"/>
      <c r="M301" s="248">
        <f>IF(Tableau3453[[#This Row],[Date 
du paiement]]="",$D$4-Tableau3453[[#This Row],[Date
de la facture]],Tableau3453[[#This Row],[Date 
du paiement]]-Tableau3453[[#This Row],[Date
de la facture]])</f>
        <v>15</v>
      </c>
      <c r="N301" s="241" t="str">
        <f>IF(Tableau3453[[#This Row],[Date 
du paiement]]="",IF(Tableau3453[[#This Row],[Jours]]&lt;30,Tableau3453[[#This Row],[Montant
de la facture
CHF]],""),"")</f>
        <v/>
      </c>
      <c r="O301" s="241" t="str">
        <f>IF(Tableau3453[[#This Row],[Date 
du paiement]]="",IF(Tableau3453[[#This Row],[Jours]]&gt;30,IF(Tableau3453[[#This Row],[Jours]]&lt;60,Tableau3453[[#This Row],[Montant
de la facture
CHF]],""),""),"")</f>
        <v/>
      </c>
      <c r="P301" s="241" t="str">
        <f>IF(Tableau3453[[#This Row],[Date 
du paiement]]="",IF(Tableau3453[[#This Row],[Jours]]&gt;60,Tableau3453[[#This Row],[Montant
de la facture
CHF]],""),"")</f>
        <v/>
      </c>
      <c r="Q301" s="249"/>
      <c r="R301" s="250" t="str">
        <f>Tableau3453[[#This Row],[Solde 
ouverte
fm]]</f>
        <v/>
      </c>
      <c r="S30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2" spans="1:19" hidden="1" outlineLevel="1" x14ac:dyDescent="0.25">
      <c r="A302" s="238">
        <v>240442</v>
      </c>
      <c r="B302" s="239" t="s">
        <v>857</v>
      </c>
      <c r="C302" s="352" t="str">
        <f>IF(Tableau3453[[#This Row],[Date 
du paiement]]="",IF(Tableau3453[[#This Row],[Jours]]&gt;Tableau3453[[#This Row],[Conditions
pmt+]]+5,"oui",""),"")</f>
        <v/>
      </c>
      <c r="D302" s="238" t="s">
        <v>925</v>
      </c>
      <c r="E302" s="240">
        <v>45413</v>
      </c>
      <c r="F302" s="241">
        <v>504.6</v>
      </c>
      <c r="G302" s="242" t="str">
        <f>IF(Tableau3453[[#This Row],[Date 
du paiement]]="",Tableau3453[[#This Row],[Montant
de la facture
CHF]],"")</f>
        <v/>
      </c>
      <c r="H302" s="243"/>
      <c r="I302" s="245">
        <v>45419</v>
      </c>
      <c r="J302" s="246">
        <v>45474</v>
      </c>
      <c r="K302" s="247" t="s">
        <v>58</v>
      </c>
      <c r="L302" s="248"/>
      <c r="M302" s="248">
        <f>IF(Tableau3453[[#This Row],[Date 
du paiement]]="",$D$4-Tableau3453[[#This Row],[Date
de la facture]],Tableau3453[[#This Row],[Date 
du paiement]]-Tableau3453[[#This Row],[Date
de la facture]])</f>
        <v>61</v>
      </c>
      <c r="N302" s="241" t="str">
        <f>IF(Tableau3453[[#This Row],[Date 
du paiement]]="",IF(Tableau3453[[#This Row],[Jours]]&lt;30,Tableau3453[[#This Row],[Montant
de la facture
CHF]],""),"")</f>
        <v/>
      </c>
      <c r="O302" s="241" t="str">
        <f>IF(Tableau3453[[#This Row],[Date 
du paiement]]="",IF(Tableau3453[[#This Row],[Jours]]&gt;30,IF(Tableau3453[[#This Row],[Jours]]&lt;60,Tableau3453[[#This Row],[Montant
de la facture
CHF]],""),""),"")</f>
        <v/>
      </c>
      <c r="P302" s="241" t="str">
        <f>IF(Tableau3453[[#This Row],[Date 
du paiement]]="",IF(Tableau3453[[#This Row],[Jours]]&gt;60,Tableau3453[[#This Row],[Montant
de la facture
CHF]],""),"")</f>
        <v/>
      </c>
      <c r="Q302" s="249"/>
      <c r="R302" s="250" t="str">
        <f>Tableau3453[[#This Row],[Solde 
ouverte
fm]]</f>
        <v/>
      </c>
      <c r="S30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3" spans="1:19" hidden="1" outlineLevel="1" x14ac:dyDescent="0.25">
      <c r="A303" s="238">
        <v>240443</v>
      </c>
      <c r="B303" s="239" t="s">
        <v>870</v>
      </c>
      <c r="C303" s="352" t="str">
        <f>IF(Tableau3453[[#This Row],[Date 
du paiement]]="",IF(Tableau3453[[#This Row],[Jours]]&gt;Tableau3453[[#This Row],[Conditions
pmt+]]+5,"oui",""),"")</f>
        <v/>
      </c>
      <c r="D303" s="238" t="s">
        <v>871</v>
      </c>
      <c r="E303" s="240">
        <v>45413</v>
      </c>
      <c r="F303" s="241">
        <v>721.9</v>
      </c>
      <c r="G303" s="242" t="str">
        <f>IF(Tableau3453[[#This Row],[Date 
du paiement]]="",Tableau3453[[#This Row],[Montant
de la facture
CHF]],"")</f>
        <v/>
      </c>
      <c r="H303" s="243"/>
      <c r="I303" s="245">
        <v>45412</v>
      </c>
      <c r="J303" s="246">
        <v>45462</v>
      </c>
      <c r="K303" s="247" t="s">
        <v>58</v>
      </c>
      <c r="L303" s="248">
        <v>1</v>
      </c>
      <c r="M303" s="248">
        <f>IF(Tableau3453[[#This Row],[Date 
du paiement]]="",$D$4-Tableau3453[[#This Row],[Date
de la facture]],Tableau3453[[#This Row],[Date 
du paiement]]-Tableau3453[[#This Row],[Date
de la facture]])</f>
        <v>49</v>
      </c>
      <c r="N303" s="241" t="str">
        <f>IF(Tableau3453[[#This Row],[Date 
du paiement]]="",IF(Tableau3453[[#This Row],[Jours]]&lt;30,Tableau3453[[#This Row],[Montant
de la facture
CHF]],""),"")</f>
        <v/>
      </c>
      <c r="O303" s="241" t="str">
        <f>IF(Tableau3453[[#This Row],[Date 
du paiement]]="",IF(Tableau3453[[#This Row],[Jours]]&gt;30,IF(Tableau3453[[#This Row],[Jours]]&lt;60,Tableau3453[[#This Row],[Montant
de la facture
CHF]],""),""),"")</f>
        <v/>
      </c>
      <c r="P303" s="241" t="str">
        <f>IF(Tableau3453[[#This Row],[Date 
du paiement]]="",IF(Tableau3453[[#This Row],[Jours]]&gt;60,Tableau3453[[#This Row],[Montant
de la facture
CHF]],""),"")</f>
        <v/>
      </c>
      <c r="Q303" s="249"/>
      <c r="R303" s="250" t="str">
        <f>Tableau3453[[#This Row],[Solde 
ouverte
fm]]</f>
        <v/>
      </c>
      <c r="S30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4" spans="1:19" hidden="1" outlineLevel="1" x14ac:dyDescent="0.25">
      <c r="A304" s="238">
        <v>240414</v>
      </c>
      <c r="B304" s="239" t="s">
        <v>860</v>
      </c>
      <c r="C304" s="352" t="str">
        <f>IF(Tableau3453[[#This Row],[Date 
du paiement]]="",IF(Tableau3453[[#This Row],[Jours]]&gt;Tableau3453[[#This Row],[Conditions
pmt+]]+5,"oui",""),"")</f>
        <v/>
      </c>
      <c r="D304" s="238" t="s">
        <v>1011</v>
      </c>
      <c r="E304" s="240">
        <v>45413</v>
      </c>
      <c r="F304" s="241">
        <v>2101.9499999999998</v>
      </c>
      <c r="G304" s="242" t="str">
        <f>IF(Tableau3453[[#This Row],[Date 
du paiement]]="",Tableau3453[[#This Row],[Montant
de la facture
CHF]],"")</f>
        <v/>
      </c>
      <c r="H304" s="243"/>
      <c r="I304" s="245">
        <v>45419</v>
      </c>
      <c r="J304" s="246">
        <v>45453</v>
      </c>
      <c r="K304" s="247" t="s">
        <v>58</v>
      </c>
      <c r="L304" s="248">
        <v>1</v>
      </c>
      <c r="M304" s="248">
        <f>IF(Tableau3453[[#This Row],[Date 
du paiement]]="",$D$4-Tableau3453[[#This Row],[Date
de la facture]],Tableau3453[[#This Row],[Date 
du paiement]]-Tableau3453[[#This Row],[Date
de la facture]])</f>
        <v>40</v>
      </c>
      <c r="N304" s="241" t="str">
        <f>IF(Tableau3453[[#This Row],[Date 
du paiement]]="",IF(Tableau3453[[#This Row],[Jours]]&lt;30,Tableau3453[[#This Row],[Montant
de la facture
CHF]],""),"")</f>
        <v/>
      </c>
      <c r="O304" s="241" t="str">
        <f>IF(Tableau3453[[#This Row],[Date 
du paiement]]="",IF(Tableau3453[[#This Row],[Jours]]&gt;30,IF(Tableau3453[[#This Row],[Jours]]&lt;60,Tableau3453[[#This Row],[Montant
de la facture
CHF]],""),""),"")</f>
        <v/>
      </c>
      <c r="P304" s="241" t="str">
        <f>IF(Tableau3453[[#This Row],[Date 
du paiement]]="",IF(Tableau3453[[#This Row],[Jours]]&gt;60,Tableau3453[[#This Row],[Montant
de la facture
CHF]],""),"")</f>
        <v/>
      </c>
      <c r="Q304" s="249"/>
      <c r="R304" s="250" t="str">
        <f>Tableau3453[[#This Row],[Solde 
ouverte
fm]]</f>
        <v/>
      </c>
      <c r="S3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5" spans="1:19" hidden="1" outlineLevel="1" x14ac:dyDescent="0.25">
      <c r="A305" s="238">
        <v>240390</v>
      </c>
      <c r="B305" s="239" t="s">
        <v>860</v>
      </c>
      <c r="C305" s="352" t="str">
        <f>IF(Tableau3453[[#This Row],[Date 
du paiement]]="",IF(Tableau3453[[#This Row],[Jours]]&gt;Tableau3453[[#This Row],[Conditions
pmt+]]+5,"oui",""),"")</f>
        <v/>
      </c>
      <c r="D305" s="238" t="s">
        <v>879</v>
      </c>
      <c r="E305" s="240">
        <v>45414</v>
      </c>
      <c r="F305" s="241">
        <v>6755.7</v>
      </c>
      <c r="G305" s="242" t="str">
        <f>IF(Tableau3453[[#This Row],[Date 
du paiement]]="",Tableau3453[[#This Row],[Montant
de la facture
CHF]],"")</f>
        <v/>
      </c>
      <c r="H305" s="243"/>
      <c r="I305" s="245">
        <v>45419</v>
      </c>
      <c r="J305" s="246">
        <v>45471</v>
      </c>
      <c r="K305" s="247" t="s">
        <v>58</v>
      </c>
      <c r="L305" s="248">
        <v>3</v>
      </c>
      <c r="M305" s="248">
        <f>IF(Tableau3453[[#This Row],[Date 
du paiement]]="",$D$4-Tableau3453[[#This Row],[Date
de la facture]],Tableau3453[[#This Row],[Date 
du paiement]]-Tableau3453[[#This Row],[Date
de la facture]])</f>
        <v>57</v>
      </c>
      <c r="N305" s="241" t="str">
        <f>IF(Tableau3453[[#This Row],[Date 
du paiement]]="",IF(Tableau3453[[#This Row],[Jours]]&lt;30,Tableau3453[[#This Row],[Montant
de la facture
CHF]],""),"")</f>
        <v/>
      </c>
      <c r="O305" s="241" t="str">
        <f>IF(Tableau3453[[#This Row],[Date 
du paiement]]="",IF(Tableau3453[[#This Row],[Jours]]&gt;30,IF(Tableau3453[[#This Row],[Jours]]&lt;60,Tableau3453[[#This Row],[Montant
de la facture
CHF]],""),""),"")</f>
        <v/>
      </c>
      <c r="P305" s="241" t="str">
        <f>IF(Tableau3453[[#This Row],[Date 
du paiement]]="",IF(Tableau3453[[#This Row],[Jours]]&gt;60,Tableau3453[[#This Row],[Montant
de la facture
CHF]],""),"")</f>
        <v/>
      </c>
      <c r="Q305" s="249"/>
      <c r="R305" s="250" t="str">
        <f>Tableau3453[[#This Row],[Solde 
ouverte
fm]]</f>
        <v/>
      </c>
      <c r="S30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6" spans="1:19" hidden="1" outlineLevel="1" x14ac:dyDescent="0.25">
      <c r="A306" s="238">
        <v>240415</v>
      </c>
      <c r="B306" s="239" t="s">
        <v>860</v>
      </c>
      <c r="C306" s="352" t="str">
        <f>IF(Tableau3453[[#This Row],[Date 
du paiement]]="",IF(Tableau3453[[#This Row],[Jours]]&gt;Tableau3453[[#This Row],[Conditions
pmt+]]+5,"oui",""),"")</f>
        <v/>
      </c>
      <c r="D306" s="238" t="s">
        <v>1026</v>
      </c>
      <c r="E306" s="240">
        <v>45414</v>
      </c>
      <c r="F306" s="241">
        <v>29.2</v>
      </c>
      <c r="G306" s="242" t="str">
        <f>IF(Tableau3453[[#This Row],[Date 
du paiement]]="",Tableau3453[[#This Row],[Montant
de la facture
CHF]],"")</f>
        <v/>
      </c>
      <c r="H306" s="243"/>
      <c r="I306" s="245">
        <v>45419</v>
      </c>
      <c r="J306" s="246">
        <v>45464</v>
      </c>
      <c r="K306" s="247" t="s">
        <v>58</v>
      </c>
      <c r="L306" s="248">
        <v>2</v>
      </c>
      <c r="M306" s="248">
        <f>IF(Tableau3453[[#This Row],[Date 
du paiement]]="",$D$4-Tableau3453[[#This Row],[Date
de la facture]],Tableau3453[[#This Row],[Date 
du paiement]]-Tableau3453[[#This Row],[Date
de la facture]])</f>
        <v>50</v>
      </c>
      <c r="N306" s="241" t="str">
        <f>IF(Tableau3453[[#This Row],[Date 
du paiement]]="",IF(Tableau3453[[#This Row],[Jours]]&lt;30,Tableau3453[[#This Row],[Montant
de la facture
CHF]],""),"")</f>
        <v/>
      </c>
      <c r="O306" s="241" t="str">
        <f>IF(Tableau3453[[#This Row],[Date 
du paiement]]="",IF(Tableau3453[[#This Row],[Jours]]&gt;30,IF(Tableau3453[[#This Row],[Jours]]&lt;60,Tableau3453[[#This Row],[Montant
de la facture
CHF]],""),""),"")</f>
        <v/>
      </c>
      <c r="P306" s="241" t="str">
        <f>IF(Tableau3453[[#This Row],[Date 
du paiement]]="",IF(Tableau3453[[#This Row],[Jours]]&gt;60,Tableau3453[[#This Row],[Montant
de la facture
CHF]],""),"")</f>
        <v/>
      </c>
      <c r="Q306" s="249" t="s">
        <v>1027</v>
      </c>
      <c r="R306" s="250" t="str">
        <f>Tableau3453[[#This Row],[Solde 
ouverte
fm]]</f>
        <v/>
      </c>
      <c r="S30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7" spans="1:19" hidden="1" outlineLevel="1" x14ac:dyDescent="0.25">
      <c r="A307" s="238">
        <v>240457</v>
      </c>
      <c r="B307" s="239" t="s">
        <v>860</v>
      </c>
      <c r="C307" s="352" t="str">
        <f>IF(Tableau3453[[#This Row],[Date 
du paiement]]="",IF(Tableau3453[[#This Row],[Jours]]&gt;Tableau3453[[#This Row],[Conditions
pmt+]]+5,"oui",""),"")</f>
        <v/>
      </c>
      <c r="D307" s="238" t="s">
        <v>1011</v>
      </c>
      <c r="E307" s="240">
        <v>45414</v>
      </c>
      <c r="F307" s="241">
        <v>1865.8</v>
      </c>
      <c r="G307" s="242" t="str">
        <f>IF(Tableau3453[[#This Row],[Date 
du paiement]]="",Tableau3453[[#This Row],[Montant
de la facture
CHF]],"")</f>
        <v/>
      </c>
      <c r="H307" s="243"/>
      <c r="I307" s="245">
        <v>45419</v>
      </c>
      <c r="J307" s="246">
        <v>45453</v>
      </c>
      <c r="K307" s="247" t="s">
        <v>58</v>
      </c>
      <c r="L307" s="248">
        <v>1</v>
      </c>
      <c r="M307" s="248">
        <f>IF(Tableau3453[[#This Row],[Date 
du paiement]]="",$D$4-Tableau3453[[#This Row],[Date
de la facture]],Tableau3453[[#This Row],[Date 
du paiement]]-Tableau3453[[#This Row],[Date
de la facture]])</f>
        <v>39</v>
      </c>
      <c r="N307" s="241" t="str">
        <f>IF(Tableau3453[[#This Row],[Date 
du paiement]]="",IF(Tableau3453[[#This Row],[Jours]]&lt;30,Tableau3453[[#This Row],[Montant
de la facture
CHF]],""),"")</f>
        <v/>
      </c>
      <c r="O307" s="241" t="str">
        <f>IF(Tableau3453[[#This Row],[Date 
du paiement]]="",IF(Tableau3453[[#This Row],[Jours]]&gt;30,IF(Tableau3453[[#This Row],[Jours]]&lt;60,Tableau3453[[#This Row],[Montant
de la facture
CHF]],""),""),"")</f>
        <v/>
      </c>
      <c r="P307" s="241" t="str">
        <f>IF(Tableau3453[[#This Row],[Date 
du paiement]]="",IF(Tableau3453[[#This Row],[Jours]]&gt;60,Tableau3453[[#This Row],[Montant
de la facture
CHF]],""),"")</f>
        <v/>
      </c>
      <c r="Q307" s="249"/>
      <c r="R307" s="250" t="str">
        <f>Tableau3453[[#This Row],[Solde 
ouverte
fm]]</f>
        <v/>
      </c>
      <c r="S30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8" spans="1:19" hidden="1" outlineLevel="1" x14ac:dyDescent="0.25">
      <c r="A308" s="238">
        <v>240222</v>
      </c>
      <c r="B308" s="239" t="s">
        <v>860</v>
      </c>
      <c r="C308" s="352" t="str">
        <f>IF(Tableau3453[[#This Row],[Date 
du paiement]]="",IF(Tableau3453[[#This Row],[Jours]]&gt;Tableau3453[[#This Row],[Conditions
pmt+]]+5,"oui",""),"")</f>
        <v/>
      </c>
      <c r="D308" s="238" t="s">
        <v>887</v>
      </c>
      <c r="E308" s="240">
        <v>45414</v>
      </c>
      <c r="F308" s="241">
        <v>2814.95</v>
      </c>
      <c r="G308" s="242" t="str">
        <f>IF(Tableau3453[[#This Row],[Date 
du paiement]]="",Tableau3453[[#This Row],[Montant
de la facture
CHF]],"")</f>
        <v/>
      </c>
      <c r="H308" s="243"/>
      <c r="I308" s="245">
        <v>45419</v>
      </c>
      <c r="J308" s="246">
        <v>45453</v>
      </c>
      <c r="K308" s="247" t="s">
        <v>58</v>
      </c>
      <c r="L308" s="248">
        <v>1</v>
      </c>
      <c r="M308" s="248">
        <f>IF(Tableau3453[[#This Row],[Date 
du paiement]]="",$D$4-Tableau3453[[#This Row],[Date
de la facture]],Tableau3453[[#This Row],[Date 
du paiement]]-Tableau3453[[#This Row],[Date
de la facture]])</f>
        <v>39</v>
      </c>
      <c r="N308" s="241" t="str">
        <f>IF(Tableau3453[[#This Row],[Date 
du paiement]]="",IF(Tableau3453[[#This Row],[Jours]]&lt;30,Tableau3453[[#This Row],[Montant
de la facture
CHF]],""),"")</f>
        <v/>
      </c>
      <c r="O308" s="241" t="str">
        <f>IF(Tableau3453[[#This Row],[Date 
du paiement]]="",IF(Tableau3453[[#This Row],[Jours]]&gt;30,IF(Tableau3453[[#This Row],[Jours]]&lt;60,Tableau3453[[#This Row],[Montant
de la facture
CHF]],""),""),"")</f>
        <v/>
      </c>
      <c r="P308" s="241" t="str">
        <f>IF(Tableau3453[[#This Row],[Date 
du paiement]]="",IF(Tableau3453[[#This Row],[Jours]]&gt;60,Tableau3453[[#This Row],[Montant
de la facture
CHF]],""),"")</f>
        <v/>
      </c>
      <c r="Q308" s="249"/>
      <c r="R308" s="250" t="str">
        <f>Tableau3453[[#This Row],[Solde 
ouverte
fm]]</f>
        <v/>
      </c>
      <c r="S30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09" spans="1:19" hidden="1" outlineLevel="1" x14ac:dyDescent="0.25">
      <c r="A309" s="238">
        <v>240446</v>
      </c>
      <c r="B309" s="239" t="s">
        <v>860</v>
      </c>
      <c r="C309" s="352" t="str">
        <f>IF(Tableau3453[[#This Row],[Date 
du paiement]]="",IF(Tableau3453[[#This Row],[Jours]]&gt;Tableau3453[[#This Row],[Conditions
pmt+]]+5,"oui",""),"")</f>
        <v/>
      </c>
      <c r="D309" s="238" t="s">
        <v>899</v>
      </c>
      <c r="E309" s="240">
        <v>45414</v>
      </c>
      <c r="F309" s="241">
        <v>2679.55</v>
      </c>
      <c r="G309" s="242" t="str">
        <f>IF(Tableau3453[[#This Row],[Date 
du paiement]]="",Tableau3453[[#This Row],[Montant
de la facture
CHF]],"")</f>
        <v/>
      </c>
      <c r="H309" s="243"/>
      <c r="I309" s="245">
        <v>45419</v>
      </c>
      <c r="J309" s="246">
        <v>45443</v>
      </c>
      <c r="K309" s="247" t="s">
        <v>58</v>
      </c>
      <c r="L309" s="248"/>
      <c r="M309" s="248">
        <f>IF(Tableau3453[[#This Row],[Date 
du paiement]]="",$D$4-Tableau3453[[#This Row],[Date
de la facture]],Tableau3453[[#This Row],[Date 
du paiement]]-Tableau3453[[#This Row],[Date
de la facture]])</f>
        <v>29</v>
      </c>
      <c r="N309" s="241" t="str">
        <f>IF(Tableau3453[[#This Row],[Date 
du paiement]]="",IF(Tableau3453[[#This Row],[Jours]]&lt;30,Tableau3453[[#This Row],[Montant
de la facture
CHF]],""),"")</f>
        <v/>
      </c>
      <c r="O309" s="241" t="str">
        <f>IF(Tableau3453[[#This Row],[Date 
du paiement]]="",IF(Tableau3453[[#This Row],[Jours]]&gt;30,IF(Tableau3453[[#This Row],[Jours]]&lt;60,Tableau3453[[#This Row],[Montant
de la facture
CHF]],""),""),"")</f>
        <v/>
      </c>
      <c r="P309" s="241" t="str">
        <f>IF(Tableau3453[[#This Row],[Date 
du paiement]]="",IF(Tableau3453[[#This Row],[Jours]]&gt;60,Tableau3453[[#This Row],[Montant
de la facture
CHF]],""),"")</f>
        <v/>
      </c>
      <c r="Q309" s="249"/>
      <c r="R309" s="250" t="str">
        <f>Tableau3453[[#This Row],[Solde 
ouverte
fm]]</f>
        <v/>
      </c>
      <c r="S30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0" spans="1:19" hidden="1" outlineLevel="1" x14ac:dyDescent="0.25">
      <c r="A310" s="238">
        <v>240428</v>
      </c>
      <c r="B310" s="239" t="s">
        <v>860</v>
      </c>
      <c r="C310" s="352" t="str">
        <f>IF(Tableau3453[[#This Row],[Date 
du paiement]]="",IF(Tableau3453[[#This Row],[Jours]]&gt;Tableau3453[[#This Row],[Conditions
pmt+]]+5,"oui",""),"")</f>
        <v/>
      </c>
      <c r="D310" s="238" t="s">
        <v>1013</v>
      </c>
      <c r="E310" s="240">
        <v>45414</v>
      </c>
      <c r="F310" s="241">
        <v>1282.5999999999999</v>
      </c>
      <c r="G310" s="242" t="str">
        <f>IF(Tableau3453[[#This Row],[Date 
du paiement]]="",Tableau3453[[#This Row],[Montant
de la facture
CHF]],"")</f>
        <v/>
      </c>
      <c r="H310" s="243"/>
      <c r="I310" s="245">
        <v>45425</v>
      </c>
      <c r="J310" s="246">
        <v>45443</v>
      </c>
      <c r="K310" s="247" t="s">
        <v>58</v>
      </c>
      <c r="L310" s="248"/>
      <c r="M310" s="248">
        <f>IF(Tableau3453[[#This Row],[Date 
du paiement]]="",$D$4-Tableau3453[[#This Row],[Date
de la facture]],Tableau3453[[#This Row],[Date 
du paiement]]-Tableau3453[[#This Row],[Date
de la facture]])</f>
        <v>29</v>
      </c>
      <c r="N310" s="241" t="str">
        <f>IF(Tableau3453[[#This Row],[Date 
du paiement]]="",IF(Tableau3453[[#This Row],[Jours]]&lt;30,Tableau3453[[#This Row],[Montant
de la facture
CHF]],""),"")</f>
        <v/>
      </c>
      <c r="O310" s="241" t="str">
        <f>IF(Tableau3453[[#This Row],[Date 
du paiement]]="",IF(Tableau3453[[#This Row],[Jours]]&gt;30,IF(Tableau3453[[#This Row],[Jours]]&lt;60,Tableau3453[[#This Row],[Montant
de la facture
CHF]],""),""),"")</f>
        <v/>
      </c>
      <c r="P310" s="241" t="str">
        <f>IF(Tableau3453[[#This Row],[Date 
du paiement]]="",IF(Tableau3453[[#This Row],[Jours]]&gt;60,Tableau3453[[#This Row],[Montant
de la facture
CHF]],""),"")</f>
        <v/>
      </c>
      <c r="Q310" s="249"/>
      <c r="R310" s="250" t="str">
        <f>Tableau3453[[#This Row],[Solde 
ouverte
fm]]</f>
        <v/>
      </c>
      <c r="S3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1" spans="1:19" hidden="1" outlineLevel="1" x14ac:dyDescent="0.25">
      <c r="A311" s="238">
        <v>240421</v>
      </c>
      <c r="B311" s="239" t="s">
        <v>860</v>
      </c>
      <c r="C311" s="352" t="str">
        <f>IF(Tableau3453[[#This Row],[Date 
du paiement]]="",IF(Tableau3453[[#This Row],[Jours]]&gt;Tableau3453[[#This Row],[Conditions
pmt+]]+5,"oui",""),"")</f>
        <v/>
      </c>
      <c r="D311" s="238" t="s">
        <v>880</v>
      </c>
      <c r="E311" s="240">
        <v>45414</v>
      </c>
      <c r="F311" s="241">
        <v>3309.55</v>
      </c>
      <c r="G311" s="242" t="str">
        <f>IF(Tableau3453[[#This Row],[Date 
du paiement]]="",Tableau3453[[#This Row],[Montant
de la facture
CHF]],"")</f>
        <v/>
      </c>
      <c r="H311" s="243"/>
      <c r="I311" s="245">
        <v>45419</v>
      </c>
      <c r="J311" s="246">
        <v>45440</v>
      </c>
      <c r="K311" s="247" t="s">
        <v>58</v>
      </c>
      <c r="L311" s="248"/>
      <c r="M311" s="248">
        <f>IF(Tableau3453[[#This Row],[Date 
du paiement]]="",$D$4-Tableau3453[[#This Row],[Date
de la facture]],Tableau3453[[#This Row],[Date 
du paiement]]-Tableau3453[[#This Row],[Date
de la facture]])</f>
        <v>26</v>
      </c>
      <c r="N311" s="241" t="str">
        <f>IF(Tableau3453[[#This Row],[Date 
du paiement]]="",IF(Tableau3453[[#This Row],[Jours]]&lt;30,Tableau3453[[#This Row],[Montant
de la facture
CHF]],""),"")</f>
        <v/>
      </c>
      <c r="O311" s="241" t="str">
        <f>IF(Tableau3453[[#This Row],[Date 
du paiement]]="",IF(Tableau3453[[#This Row],[Jours]]&gt;30,IF(Tableau3453[[#This Row],[Jours]]&lt;60,Tableau3453[[#This Row],[Montant
de la facture
CHF]],""),""),"")</f>
        <v/>
      </c>
      <c r="P311" s="241" t="str">
        <f>IF(Tableau3453[[#This Row],[Date 
du paiement]]="",IF(Tableau3453[[#This Row],[Jours]]&gt;60,Tableau3453[[#This Row],[Montant
de la facture
CHF]],""),"")</f>
        <v/>
      </c>
      <c r="Q311" s="249"/>
      <c r="R311" s="250" t="str">
        <f>Tableau3453[[#This Row],[Solde 
ouverte
fm]]</f>
        <v/>
      </c>
      <c r="S3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2" spans="1:19" hidden="1" outlineLevel="1" x14ac:dyDescent="0.25">
      <c r="A312" s="238">
        <v>240455</v>
      </c>
      <c r="B312" s="239" t="s">
        <v>860</v>
      </c>
      <c r="C312" s="352" t="str">
        <f>IF(Tableau3453[[#This Row],[Date 
du paiement]]="",IF(Tableau3453[[#This Row],[Jours]]&gt;Tableau3453[[#This Row],[Conditions
pmt+]]+5,"oui",""),"")</f>
        <v/>
      </c>
      <c r="D312" s="238" t="s">
        <v>931</v>
      </c>
      <c r="E312" s="240">
        <v>45415</v>
      </c>
      <c r="F312" s="241">
        <v>1005.9</v>
      </c>
      <c r="G312" s="242" t="str">
        <f>IF(Tableau3453[[#This Row],[Date 
du paiement]]="",Tableau3453[[#This Row],[Montant
de la facture
CHF]],"")</f>
        <v/>
      </c>
      <c r="H312" s="243"/>
      <c r="I312" s="245">
        <v>45419</v>
      </c>
      <c r="J312" s="246">
        <v>45460</v>
      </c>
      <c r="K312" s="247" t="s">
        <v>58</v>
      </c>
      <c r="L312" s="248">
        <v>1</v>
      </c>
      <c r="M312" s="248">
        <f>IF(Tableau3453[[#This Row],[Date 
du paiement]]="",$D$4-Tableau3453[[#This Row],[Date
de la facture]],Tableau3453[[#This Row],[Date 
du paiement]]-Tableau3453[[#This Row],[Date
de la facture]])</f>
        <v>45</v>
      </c>
      <c r="N312" s="241" t="str">
        <f>IF(Tableau3453[[#This Row],[Date 
du paiement]]="",IF(Tableau3453[[#This Row],[Jours]]&lt;30,Tableau3453[[#This Row],[Montant
de la facture
CHF]],""),"")</f>
        <v/>
      </c>
      <c r="O312" s="241" t="str">
        <f>IF(Tableau3453[[#This Row],[Date 
du paiement]]="",IF(Tableau3453[[#This Row],[Jours]]&gt;30,IF(Tableau3453[[#This Row],[Jours]]&lt;60,Tableau3453[[#This Row],[Montant
de la facture
CHF]],""),""),"")</f>
        <v/>
      </c>
      <c r="P312" s="241" t="str">
        <f>IF(Tableau3453[[#This Row],[Date 
du paiement]]="",IF(Tableau3453[[#This Row],[Jours]]&gt;60,Tableau3453[[#This Row],[Montant
de la facture
CHF]],""),"")</f>
        <v/>
      </c>
      <c r="Q312" s="249"/>
      <c r="R312" s="250" t="str">
        <f>Tableau3453[[#This Row],[Solde 
ouverte
fm]]</f>
        <v/>
      </c>
      <c r="S31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3" spans="1:19" hidden="1" outlineLevel="1" x14ac:dyDescent="0.25">
      <c r="A313" s="238">
        <v>240451</v>
      </c>
      <c r="B313" s="239" t="s">
        <v>860</v>
      </c>
      <c r="C313" s="352" t="str">
        <f>IF(Tableau3453[[#This Row],[Date 
du paiement]]="",IF(Tableau3453[[#This Row],[Jours]]&gt;Tableau3453[[#This Row],[Conditions
pmt+]]+5,"oui",""),"")</f>
        <v/>
      </c>
      <c r="D313" s="238" t="s">
        <v>872</v>
      </c>
      <c r="E313" s="240">
        <v>45415</v>
      </c>
      <c r="F313" s="241">
        <v>1616.6</v>
      </c>
      <c r="G313" s="242" t="str">
        <f>IF(Tableau3453[[#This Row],[Date 
du paiement]]="",Tableau3453[[#This Row],[Montant
de la facture
CHF]],"")</f>
        <v/>
      </c>
      <c r="H313" s="243"/>
      <c r="I313" s="245">
        <v>45425</v>
      </c>
      <c r="J313" s="246">
        <v>45449</v>
      </c>
      <c r="K313" s="247" t="s">
        <v>58</v>
      </c>
      <c r="L313" s="248"/>
      <c r="M313" s="248">
        <f>IF(Tableau3453[[#This Row],[Date 
du paiement]]="",$D$4-Tableau3453[[#This Row],[Date
de la facture]],Tableau3453[[#This Row],[Date 
du paiement]]-Tableau3453[[#This Row],[Date
de la facture]])</f>
        <v>34</v>
      </c>
      <c r="N313" s="241" t="str">
        <f>IF(Tableau3453[[#This Row],[Date 
du paiement]]="",IF(Tableau3453[[#This Row],[Jours]]&lt;30,Tableau3453[[#This Row],[Montant
de la facture
CHF]],""),"")</f>
        <v/>
      </c>
      <c r="O313" s="241" t="str">
        <f>IF(Tableau3453[[#This Row],[Date 
du paiement]]="",IF(Tableau3453[[#This Row],[Jours]]&gt;30,IF(Tableau3453[[#This Row],[Jours]]&lt;60,Tableau3453[[#This Row],[Montant
de la facture
CHF]],""),""),"")</f>
        <v/>
      </c>
      <c r="P313" s="241" t="str">
        <f>IF(Tableau3453[[#This Row],[Date 
du paiement]]="",IF(Tableau3453[[#This Row],[Jours]]&gt;60,Tableau3453[[#This Row],[Montant
de la facture
CHF]],""),"")</f>
        <v/>
      </c>
      <c r="Q313" s="249"/>
      <c r="R313" s="250" t="str">
        <f>Tableau3453[[#This Row],[Solde 
ouverte
fm]]</f>
        <v/>
      </c>
      <c r="S3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4" spans="1:19" hidden="1" outlineLevel="1" x14ac:dyDescent="0.25">
      <c r="A314" s="238">
        <v>240429</v>
      </c>
      <c r="B314" s="239" t="s">
        <v>860</v>
      </c>
      <c r="C314" s="352" t="str">
        <f>IF(Tableau3453[[#This Row],[Date 
du paiement]]="",IF(Tableau3453[[#This Row],[Jours]]&gt;Tableau3453[[#This Row],[Conditions
pmt+]]+5,"oui",""),"")</f>
        <v/>
      </c>
      <c r="D314" s="238" t="s">
        <v>941</v>
      </c>
      <c r="E314" s="240">
        <v>45415</v>
      </c>
      <c r="F314" s="241">
        <v>583.25</v>
      </c>
      <c r="G314" s="242" t="str">
        <f>IF(Tableau3453[[#This Row],[Date 
du paiement]]="",Tableau3453[[#This Row],[Montant
de la facture
CHF]],"")</f>
        <v/>
      </c>
      <c r="H314" s="243"/>
      <c r="I314" s="245">
        <v>45419</v>
      </c>
      <c r="J314" s="246">
        <v>45427</v>
      </c>
      <c r="K314" s="247" t="s">
        <v>58</v>
      </c>
      <c r="L314" s="248"/>
      <c r="M314" s="248">
        <f>IF(Tableau3453[[#This Row],[Date 
du paiement]]="",$D$4-Tableau3453[[#This Row],[Date
de la facture]],Tableau3453[[#This Row],[Date 
du paiement]]-Tableau3453[[#This Row],[Date
de la facture]])</f>
        <v>12</v>
      </c>
      <c r="N314" s="241" t="str">
        <f>IF(Tableau3453[[#This Row],[Date 
du paiement]]="",IF(Tableau3453[[#This Row],[Jours]]&lt;30,Tableau3453[[#This Row],[Montant
de la facture
CHF]],""),"")</f>
        <v/>
      </c>
      <c r="O314" s="241" t="str">
        <f>IF(Tableau3453[[#This Row],[Date 
du paiement]]="",IF(Tableau3453[[#This Row],[Jours]]&gt;30,IF(Tableau3453[[#This Row],[Jours]]&lt;60,Tableau3453[[#This Row],[Montant
de la facture
CHF]],""),""),"")</f>
        <v/>
      </c>
      <c r="P314" s="241" t="str">
        <f>IF(Tableau3453[[#This Row],[Date 
du paiement]]="",IF(Tableau3453[[#This Row],[Jours]]&gt;60,Tableau3453[[#This Row],[Montant
de la facture
CHF]],""),"")</f>
        <v/>
      </c>
      <c r="Q314" s="249"/>
      <c r="R314" s="250" t="str">
        <f>Tableau3453[[#This Row],[Solde 
ouverte
fm]]</f>
        <v/>
      </c>
      <c r="S31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5" spans="1:19" hidden="1" outlineLevel="1" x14ac:dyDescent="0.25">
      <c r="A315" s="238">
        <v>240462</v>
      </c>
      <c r="B315" s="239" t="s">
        <v>857</v>
      </c>
      <c r="C315" s="352" t="str">
        <f>IF(Tableau3453[[#This Row],[Date 
du paiement]]="",IF(Tableau3453[[#This Row],[Jours]]&gt;Tableau3453[[#This Row],[Conditions
pmt+]]+5,"oui",""),"")</f>
        <v/>
      </c>
      <c r="D315" s="238" t="s">
        <v>916</v>
      </c>
      <c r="E315" s="240">
        <v>45418</v>
      </c>
      <c r="F315" s="241">
        <v>3535.1</v>
      </c>
      <c r="G315" s="242" t="str">
        <f>IF(Tableau3453[[#This Row],[Date 
du paiement]]="",Tableau3453[[#This Row],[Montant
de la facture
CHF]],"")</f>
        <v/>
      </c>
      <c r="H315" s="243"/>
      <c r="I315" s="245">
        <v>45425</v>
      </c>
      <c r="J315" s="246">
        <v>45481</v>
      </c>
      <c r="K315" s="247" t="s">
        <v>58</v>
      </c>
      <c r="L315" s="248"/>
      <c r="M315" s="248">
        <f>IF(Tableau3453[[#This Row],[Date 
du paiement]]="",$D$4-Tableau3453[[#This Row],[Date
de la facture]],Tableau3453[[#This Row],[Date 
du paiement]]-Tableau3453[[#This Row],[Date
de la facture]])</f>
        <v>63</v>
      </c>
      <c r="N315" s="241" t="str">
        <f>IF(Tableau3453[[#This Row],[Date 
du paiement]]="",IF(Tableau3453[[#This Row],[Jours]]&lt;30,Tableau3453[[#This Row],[Montant
de la facture
CHF]],""),"")</f>
        <v/>
      </c>
      <c r="O315" s="241" t="str">
        <f>IF(Tableau3453[[#This Row],[Date 
du paiement]]="",IF(Tableau3453[[#This Row],[Jours]]&gt;30,IF(Tableau3453[[#This Row],[Jours]]&lt;60,Tableau3453[[#This Row],[Montant
de la facture
CHF]],""),""),"")</f>
        <v/>
      </c>
      <c r="P315" s="241" t="str">
        <f>IF(Tableau3453[[#This Row],[Date 
du paiement]]="",IF(Tableau3453[[#This Row],[Jours]]&gt;60,Tableau3453[[#This Row],[Montant
de la facture
CHF]],""),"")</f>
        <v/>
      </c>
      <c r="Q315" s="249"/>
      <c r="R315" s="250" t="str">
        <f>Tableau3453[[#This Row],[Solde 
ouverte
fm]]</f>
        <v/>
      </c>
      <c r="S31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6" spans="1:19" hidden="1" outlineLevel="1" x14ac:dyDescent="0.25">
      <c r="A316" s="238">
        <v>240266</v>
      </c>
      <c r="B316" s="239" t="s">
        <v>860</v>
      </c>
      <c r="C316" s="352" t="str">
        <f>IF(Tableau3453[[#This Row],[Date 
du paiement]]="",IF(Tableau3453[[#This Row],[Jours]]&gt;Tableau3453[[#This Row],[Conditions
pmt+]]+5,"oui",""),"")</f>
        <v/>
      </c>
      <c r="D316" s="238" t="s">
        <v>1015</v>
      </c>
      <c r="E316" s="240">
        <v>45418</v>
      </c>
      <c r="F316" s="241">
        <v>908.95</v>
      </c>
      <c r="G316" s="242" t="str">
        <f>IF(Tableau3453[[#This Row],[Date 
du paiement]]="",Tableau3453[[#This Row],[Montant
de la facture
CHF]],"")</f>
        <v/>
      </c>
      <c r="H316" s="243"/>
      <c r="I316" s="245">
        <v>45425</v>
      </c>
      <c r="J316" s="246">
        <v>45457</v>
      </c>
      <c r="K316" s="247" t="s">
        <v>58</v>
      </c>
      <c r="L316" s="248">
        <v>1</v>
      </c>
      <c r="M316" s="248">
        <f>IF(Tableau3453[[#This Row],[Date 
du paiement]]="",$D$4-Tableau3453[[#This Row],[Date
de la facture]],Tableau3453[[#This Row],[Date 
du paiement]]-Tableau3453[[#This Row],[Date
de la facture]])</f>
        <v>39</v>
      </c>
      <c r="N316" s="241" t="str">
        <f>IF(Tableau3453[[#This Row],[Date 
du paiement]]="",IF(Tableau3453[[#This Row],[Jours]]&lt;30,Tableau3453[[#This Row],[Montant
de la facture
CHF]],""),"")</f>
        <v/>
      </c>
      <c r="O316" s="241" t="str">
        <f>IF(Tableau3453[[#This Row],[Date 
du paiement]]="",IF(Tableau3453[[#This Row],[Jours]]&gt;30,IF(Tableau3453[[#This Row],[Jours]]&lt;60,Tableau3453[[#This Row],[Montant
de la facture
CHF]],""),""),"")</f>
        <v/>
      </c>
      <c r="P316" s="241" t="str">
        <f>IF(Tableau3453[[#This Row],[Date 
du paiement]]="",IF(Tableau3453[[#This Row],[Jours]]&gt;60,Tableau3453[[#This Row],[Montant
de la facture
CHF]],""),"")</f>
        <v/>
      </c>
      <c r="Q316" s="249"/>
      <c r="R316" s="250" t="str">
        <f>Tableau3453[[#This Row],[Solde 
ouverte
fm]]</f>
        <v/>
      </c>
      <c r="S31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7" spans="1:19" hidden="1" outlineLevel="1" x14ac:dyDescent="0.25">
      <c r="A317" s="238">
        <v>240453</v>
      </c>
      <c r="B317" s="239" t="s">
        <v>860</v>
      </c>
      <c r="C317" s="352" t="str">
        <f>IF(Tableau3453[[#This Row],[Date 
du paiement]]="",IF(Tableau3453[[#This Row],[Jours]]&gt;Tableau3453[[#This Row],[Conditions
pmt+]]+5,"oui",""),"")</f>
        <v/>
      </c>
      <c r="D317" s="238" t="s">
        <v>1014</v>
      </c>
      <c r="E317" s="240">
        <v>45419</v>
      </c>
      <c r="F317" s="241">
        <v>3119.1</v>
      </c>
      <c r="G317" s="242" t="str">
        <f>IF(Tableau3453[[#This Row],[Date 
du paiement]]="",Tableau3453[[#This Row],[Montant
de la facture
CHF]],"")</f>
        <v/>
      </c>
      <c r="H317" s="243"/>
      <c r="I317" s="245">
        <v>45425</v>
      </c>
      <c r="J317" s="246">
        <v>45453</v>
      </c>
      <c r="K317" s="247" t="s">
        <v>58</v>
      </c>
      <c r="L317" s="248"/>
      <c r="M317" s="248">
        <f>IF(Tableau3453[[#This Row],[Date 
du paiement]]="",$D$4-Tableau3453[[#This Row],[Date
de la facture]],Tableau3453[[#This Row],[Date 
du paiement]]-Tableau3453[[#This Row],[Date
de la facture]])</f>
        <v>34</v>
      </c>
      <c r="N317" s="241" t="str">
        <f>IF(Tableau3453[[#This Row],[Date 
du paiement]]="",IF(Tableau3453[[#This Row],[Jours]]&lt;30,Tableau3453[[#This Row],[Montant
de la facture
CHF]],""),"")</f>
        <v/>
      </c>
      <c r="O317" s="241" t="str">
        <f>IF(Tableau3453[[#This Row],[Date 
du paiement]]="",IF(Tableau3453[[#This Row],[Jours]]&gt;30,IF(Tableau3453[[#This Row],[Jours]]&lt;60,Tableau3453[[#This Row],[Montant
de la facture
CHF]],""),""),"")</f>
        <v/>
      </c>
      <c r="P317" s="241" t="str">
        <f>IF(Tableau3453[[#This Row],[Date 
du paiement]]="",IF(Tableau3453[[#This Row],[Jours]]&gt;60,Tableau3453[[#This Row],[Montant
de la facture
CHF]],""),"")</f>
        <v/>
      </c>
      <c r="Q317" s="249"/>
      <c r="R317" s="250" t="str">
        <f>Tableau3453[[#This Row],[Solde 
ouverte
fm]]</f>
        <v/>
      </c>
      <c r="S31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8" spans="1:19" hidden="1" outlineLevel="1" x14ac:dyDescent="0.25">
      <c r="A318" s="238">
        <v>240464</v>
      </c>
      <c r="B318" s="239" t="s">
        <v>857</v>
      </c>
      <c r="C318" s="352" t="str">
        <f>IF(Tableau3453[[#This Row],[Date 
du paiement]]="",IF(Tableau3453[[#This Row],[Jours]]&gt;Tableau3453[[#This Row],[Conditions
pmt+]]+5,"oui",""),"")</f>
        <v/>
      </c>
      <c r="D318" s="251" t="s">
        <v>865</v>
      </c>
      <c r="E318" s="240">
        <v>45419</v>
      </c>
      <c r="F318" s="241">
        <v>256.75</v>
      </c>
      <c r="G318" s="242" t="str">
        <f>IF(Tableau3453[[#This Row],[Date 
du paiement]]="",Tableau3453[[#This Row],[Montant
de la facture
CHF]],"")</f>
        <v/>
      </c>
      <c r="H318" s="243"/>
      <c r="I318" s="245">
        <v>45425</v>
      </c>
      <c r="J318" s="246">
        <v>45484</v>
      </c>
      <c r="K318" s="247" t="s">
        <v>58</v>
      </c>
      <c r="L318" s="248"/>
      <c r="M318" s="248">
        <f>IF(Tableau3453[[#This Row],[Date 
du paiement]]="",$D$4-Tableau3453[[#This Row],[Date
de la facture]],Tableau3453[[#This Row],[Date 
du paiement]]-Tableau3453[[#This Row],[Date
de la facture]])</f>
        <v>65</v>
      </c>
      <c r="N318" s="241" t="str">
        <f>IF(Tableau3453[[#This Row],[Date 
du paiement]]="",IF(Tableau3453[[#This Row],[Jours]]&lt;30,Tableau3453[[#This Row],[Montant
de la facture
CHF]],""),"")</f>
        <v/>
      </c>
      <c r="O318" s="241" t="str">
        <f>IF(Tableau3453[[#This Row],[Date 
du paiement]]="",IF(Tableau3453[[#This Row],[Jours]]&gt;30,IF(Tableau3453[[#This Row],[Jours]]&lt;60,Tableau3453[[#This Row],[Montant
de la facture
CHF]],""),""),"")</f>
        <v/>
      </c>
      <c r="P318" s="241" t="str">
        <f>IF(Tableau3453[[#This Row],[Date 
du paiement]]="",IF(Tableau3453[[#This Row],[Jours]]&gt;60,Tableau3453[[#This Row],[Montant
de la facture
CHF]],""),"")</f>
        <v/>
      </c>
      <c r="Q318" s="249"/>
      <c r="R318" s="250" t="str">
        <f>Tableau3453[[#This Row],[Solde 
ouverte
fm]]</f>
        <v/>
      </c>
      <c r="S3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19" spans="1:19" hidden="1" outlineLevel="1" x14ac:dyDescent="0.25">
      <c r="A319" s="238">
        <v>240190</v>
      </c>
      <c r="B319" s="239" t="s">
        <v>860</v>
      </c>
      <c r="C319" s="352" t="str">
        <f>IF(Tableau3453[[#This Row],[Date 
du paiement]]="",IF(Tableau3453[[#This Row],[Jours]]&gt;Tableau3453[[#This Row],[Conditions
pmt+]]+5,"oui",""),"")</f>
        <v/>
      </c>
      <c r="D319" s="238" t="s">
        <v>898</v>
      </c>
      <c r="E319" s="240">
        <v>45420</v>
      </c>
      <c r="F319" s="241">
        <v>172.85</v>
      </c>
      <c r="G319" s="242" t="str">
        <f>IF(Tableau3453[[#This Row],[Date 
du paiement]]="",Tableau3453[[#This Row],[Montant
de la facture
CHF]],"")</f>
        <v/>
      </c>
      <c r="H319" s="243"/>
      <c r="I319" s="245">
        <v>45425</v>
      </c>
      <c r="J319" s="246">
        <v>45456</v>
      </c>
      <c r="K319" s="247" t="s">
        <v>58</v>
      </c>
      <c r="L319" s="248"/>
      <c r="M319" s="248">
        <f>IF(Tableau3453[[#This Row],[Date 
du paiement]]="",$D$4-Tableau3453[[#This Row],[Date
de la facture]],Tableau3453[[#This Row],[Date 
du paiement]]-Tableau3453[[#This Row],[Date
de la facture]])</f>
        <v>36</v>
      </c>
      <c r="N319" s="241" t="str">
        <f>IF(Tableau3453[[#This Row],[Date 
du paiement]]="",IF(Tableau3453[[#This Row],[Jours]]&lt;30,Tableau3453[[#This Row],[Montant
de la facture
CHF]],""),"")</f>
        <v/>
      </c>
      <c r="O319" s="241" t="str">
        <f>IF(Tableau3453[[#This Row],[Date 
du paiement]]="",IF(Tableau3453[[#This Row],[Jours]]&gt;30,IF(Tableau3453[[#This Row],[Jours]]&lt;60,Tableau3453[[#This Row],[Montant
de la facture
CHF]],""),""),"")</f>
        <v/>
      </c>
      <c r="P319" s="241" t="str">
        <f>IF(Tableau3453[[#This Row],[Date 
du paiement]]="",IF(Tableau3453[[#This Row],[Jours]]&gt;60,Tableau3453[[#This Row],[Montant
de la facture
CHF]],""),"")</f>
        <v/>
      </c>
      <c r="Q319" s="249"/>
      <c r="R319" s="250" t="str">
        <f>Tableau3453[[#This Row],[Solde 
ouverte
fm]]</f>
        <v/>
      </c>
      <c r="S3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0" spans="1:19" hidden="1" outlineLevel="1" x14ac:dyDescent="0.25">
      <c r="A320" s="268">
        <v>240371</v>
      </c>
      <c r="B320" s="239">
        <v>30</v>
      </c>
      <c r="C320" s="352" t="str">
        <f>IF(Tableau3453[[#This Row],[Date 
du paiement]]="",IF(Tableau3453[[#This Row],[Jours]]&gt;Tableau3453[[#This Row],[Conditions
pmt+]]+5,"oui",""),"")</f>
        <v/>
      </c>
      <c r="D320" s="262" t="s">
        <v>885</v>
      </c>
      <c r="E320" s="240">
        <v>45497</v>
      </c>
      <c r="F320" s="263">
        <v>3694.7</v>
      </c>
      <c r="G320" s="242" t="str">
        <f>IF(Tableau3453[[#This Row],[Date 
du paiement]]="",Tableau3453[[#This Row],[Montant
de la facture
CHF]],"")</f>
        <v/>
      </c>
      <c r="H320" s="243"/>
      <c r="I320" s="245">
        <v>45498</v>
      </c>
      <c r="J320" s="246">
        <v>45503</v>
      </c>
      <c r="K320" s="247" t="s">
        <v>58</v>
      </c>
      <c r="L320" s="264"/>
      <c r="M320" s="265">
        <f>IF(Tableau3453[[#This Row],[Date 
du paiement]]="",$D$4-Tableau3453[[#This Row],[Date
de la facture]],Tableau3453[[#This Row],[Date 
du paiement]]-Tableau3453[[#This Row],[Date
de la facture]])</f>
        <v>6</v>
      </c>
      <c r="N320" s="263" t="str">
        <f>IF(Tableau3453[[#This Row],[Date 
du paiement]]="",IF(Tableau3453[[#This Row],[Jours]]&lt;30,Tableau3453[[#This Row],[Montant
de la facture
CHF]],""),"")</f>
        <v/>
      </c>
      <c r="O320" s="263" t="str">
        <f>IF(Tableau3453[[#This Row],[Date 
du paiement]]="",IF(Tableau3453[[#This Row],[Jours]]&gt;30,IF(Tableau3453[[#This Row],[Jours]]&lt;60,Tableau3453[[#This Row],[Montant
de la facture
CHF]],""),""),"")</f>
        <v/>
      </c>
      <c r="P320" s="263" t="str">
        <f>IF(Tableau3453[[#This Row],[Date 
du paiement]]="",IF(Tableau3453[[#This Row],[Jours]]&gt;60,Tableau3453[[#This Row],[Montant
de la facture
CHF]],""),"")</f>
        <v/>
      </c>
      <c r="Q320" s="266"/>
      <c r="R320" s="267" t="str">
        <f>Tableau3453[[#This Row],[Solde 
ouverte
fm]]</f>
        <v/>
      </c>
      <c r="S32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1" spans="1:19" hidden="1" outlineLevel="1" x14ac:dyDescent="0.25">
      <c r="A321" s="238">
        <v>240381</v>
      </c>
      <c r="B321" s="239" t="s">
        <v>860</v>
      </c>
      <c r="C321" s="352" t="str">
        <f>IF(Tableau3453[[#This Row],[Date 
du paiement]]="",IF(Tableau3453[[#This Row],[Jours]]&gt;Tableau3453[[#This Row],[Conditions
pmt+]]+5,"oui",""),"")</f>
        <v/>
      </c>
      <c r="D321" s="238" t="s">
        <v>877</v>
      </c>
      <c r="E321" s="240">
        <v>45420</v>
      </c>
      <c r="F321" s="241">
        <v>4837.2</v>
      </c>
      <c r="G321" s="242" t="str">
        <f>IF(Tableau3453[[#This Row],[Date 
du paiement]]="",Tableau3453[[#This Row],[Montant
de la facture
CHF]],"")</f>
        <v/>
      </c>
      <c r="H321" s="243" t="s">
        <v>1227</v>
      </c>
      <c r="I321" s="245">
        <v>45425</v>
      </c>
      <c r="J321" s="246">
        <v>45495</v>
      </c>
      <c r="K321" s="247" t="s">
        <v>58</v>
      </c>
      <c r="L321" s="248">
        <v>5</v>
      </c>
      <c r="M321" s="248">
        <f>IF(Tableau3453[[#This Row],[Date 
du paiement]]="",$D$4-Tableau3453[[#This Row],[Date
de la facture]],Tableau3453[[#This Row],[Date 
du paiement]]-Tableau3453[[#This Row],[Date
de la facture]])</f>
        <v>75</v>
      </c>
      <c r="N321" s="241" t="str">
        <f>IF(Tableau3453[[#This Row],[Date 
du paiement]]="",IF(Tableau3453[[#This Row],[Jours]]&lt;30,Tableau3453[[#This Row],[Montant
de la facture
CHF]],""),"")</f>
        <v/>
      </c>
      <c r="O321" s="241" t="str">
        <f>IF(Tableau3453[[#This Row],[Date 
du paiement]]="",IF(Tableau3453[[#This Row],[Jours]]&gt;30,IF(Tableau3453[[#This Row],[Jours]]&lt;60,Tableau3453[[#This Row],[Montant
de la facture
CHF]],""),""),"")</f>
        <v/>
      </c>
      <c r="P321" s="241" t="str">
        <f>IF(Tableau3453[[#This Row],[Date 
du paiement]]="",IF(Tableau3453[[#This Row],[Jours]]&gt;60,Tableau3453[[#This Row],[Montant
de la facture
CHF]],""),"")</f>
        <v/>
      </c>
      <c r="Q321" s="249" t="s">
        <v>1226</v>
      </c>
      <c r="R321" s="250" t="str">
        <f>Tableau3453[[#This Row],[Solde 
ouverte
fm]]</f>
        <v/>
      </c>
      <c r="S3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2" spans="1:19" hidden="1" outlineLevel="1" x14ac:dyDescent="0.25">
      <c r="A322" s="238">
        <v>240353</v>
      </c>
      <c r="B322" s="239" t="s">
        <v>860</v>
      </c>
      <c r="C322" s="352" t="str">
        <f>IF(Tableau3453[[#This Row],[Date 
du paiement]]="",IF(Tableau3453[[#This Row],[Jours]]&gt;Tableau3453[[#This Row],[Conditions
pmt+]]+5,"oui",""),"")</f>
        <v/>
      </c>
      <c r="D322" s="251" t="s">
        <v>869</v>
      </c>
      <c r="E322" s="240">
        <v>45425</v>
      </c>
      <c r="F322" s="241">
        <v>874.55</v>
      </c>
      <c r="G322" s="242" t="str">
        <f>IF(Tableau3453[[#This Row],[Date 
du paiement]]="",Tableau3453[[#This Row],[Montant
de la facture
CHF]],"")</f>
        <v/>
      </c>
      <c r="H322" s="243"/>
      <c r="I322" s="245">
        <v>45427</v>
      </c>
      <c r="J322" s="246">
        <v>45469</v>
      </c>
      <c r="K322" s="247" t="s">
        <v>58</v>
      </c>
      <c r="L322" s="248">
        <v>2</v>
      </c>
      <c r="M322" s="248">
        <f>IF(Tableau3453[[#This Row],[Date 
du paiement]]="",$D$4-Tableau3453[[#This Row],[Date
de la facture]],Tableau3453[[#This Row],[Date 
du paiement]]-Tableau3453[[#This Row],[Date
de la facture]])</f>
        <v>44</v>
      </c>
      <c r="N322" s="241" t="str">
        <f>IF(Tableau3453[[#This Row],[Date 
du paiement]]="",IF(Tableau3453[[#This Row],[Jours]]&lt;30,Tableau3453[[#This Row],[Montant
de la facture
CHF]],""),"")</f>
        <v/>
      </c>
      <c r="O322" s="241" t="str">
        <f>IF(Tableau3453[[#This Row],[Date 
du paiement]]="",IF(Tableau3453[[#This Row],[Jours]]&gt;30,IF(Tableau3453[[#This Row],[Jours]]&lt;60,Tableau3453[[#This Row],[Montant
de la facture
CHF]],""),""),"")</f>
        <v/>
      </c>
      <c r="P322" s="241" t="str">
        <f>IF(Tableau3453[[#This Row],[Date 
du paiement]]="",IF(Tableau3453[[#This Row],[Jours]]&gt;60,Tableau3453[[#This Row],[Montant
de la facture
CHF]],""),"")</f>
        <v/>
      </c>
      <c r="Q322" s="249"/>
      <c r="R322" s="250" t="str">
        <f>Tableau3453[[#This Row],[Solde 
ouverte
fm]]</f>
        <v/>
      </c>
      <c r="S3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3" spans="1:19" hidden="1" outlineLevel="1" x14ac:dyDescent="0.25">
      <c r="A323" s="238">
        <v>240314</v>
      </c>
      <c r="B323" s="239" t="s">
        <v>860</v>
      </c>
      <c r="C323" s="352" t="str">
        <f>IF(Tableau3453[[#This Row],[Date 
du paiement]]="",IF(Tableau3453[[#This Row],[Jours]]&gt;Tableau3453[[#This Row],[Conditions
pmt+]]+5,"oui",""),"")</f>
        <v/>
      </c>
      <c r="D323" s="238" t="s">
        <v>902</v>
      </c>
      <c r="E323" s="240">
        <v>45425</v>
      </c>
      <c r="F323" s="241">
        <v>19177.849999999999</v>
      </c>
      <c r="G323" s="242" t="str">
        <f>IF(Tableau3453[[#This Row],[Date 
du paiement]]="",Tableau3453[[#This Row],[Montant
de la facture
CHF]],"")</f>
        <v/>
      </c>
      <c r="H323" s="243"/>
      <c r="I323" s="245">
        <v>45427</v>
      </c>
      <c r="J323" s="246">
        <v>45450</v>
      </c>
      <c r="K323" s="247" t="s">
        <v>58</v>
      </c>
      <c r="L323" s="248"/>
      <c r="M323" s="248">
        <f>IF(Tableau3453[[#This Row],[Date 
du paiement]]="",$D$4-Tableau3453[[#This Row],[Date
de la facture]],Tableau3453[[#This Row],[Date 
du paiement]]-Tableau3453[[#This Row],[Date
de la facture]])</f>
        <v>25</v>
      </c>
      <c r="N323" s="241" t="str">
        <f>IF(Tableau3453[[#This Row],[Date 
du paiement]]="",IF(Tableau3453[[#This Row],[Jours]]&lt;30,Tableau3453[[#This Row],[Montant
de la facture
CHF]],""),"")</f>
        <v/>
      </c>
      <c r="O323" s="241" t="str">
        <f>IF(Tableau3453[[#This Row],[Date 
du paiement]]="",IF(Tableau3453[[#This Row],[Jours]]&gt;30,IF(Tableau3453[[#This Row],[Jours]]&lt;60,Tableau3453[[#This Row],[Montant
de la facture
CHF]],""),""),"")</f>
        <v/>
      </c>
      <c r="P323" s="241" t="str">
        <f>IF(Tableau3453[[#This Row],[Date 
du paiement]]="",IF(Tableau3453[[#This Row],[Jours]]&gt;60,Tableau3453[[#This Row],[Montant
de la facture
CHF]],""),"")</f>
        <v/>
      </c>
      <c r="Q323" s="249"/>
      <c r="R323" s="250" t="str">
        <f>Tableau3453[[#This Row],[Solde 
ouverte
fm]]</f>
        <v/>
      </c>
      <c r="S3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4" spans="1:19" hidden="1" outlineLevel="1" x14ac:dyDescent="0.25">
      <c r="A324" s="238">
        <v>240465</v>
      </c>
      <c r="B324" s="239" t="s">
        <v>860</v>
      </c>
      <c r="C324" s="352" t="str">
        <f>IF(Tableau3453[[#This Row],[Date 
du paiement]]="",IF(Tableau3453[[#This Row],[Jours]]&gt;Tableau3453[[#This Row],[Conditions
pmt+]]+5,"oui",""),"")</f>
        <v/>
      </c>
      <c r="D324" s="238" t="s">
        <v>1023</v>
      </c>
      <c r="E324" s="240">
        <v>45426</v>
      </c>
      <c r="F324" s="241">
        <v>1877.25</v>
      </c>
      <c r="G324" s="242" t="str">
        <f>IF(Tableau3453[[#This Row],[Date 
du paiement]]="",Tableau3453[[#This Row],[Montant
de la facture
CHF]],"")</f>
        <v/>
      </c>
      <c r="H324" s="243"/>
      <c r="I324" s="245">
        <v>45427</v>
      </c>
      <c r="J324" s="246">
        <v>45476</v>
      </c>
      <c r="K324" s="247" t="s">
        <v>58</v>
      </c>
      <c r="L324" s="248">
        <v>3</v>
      </c>
      <c r="M324" s="248">
        <f>IF(Tableau3453[[#This Row],[Date 
du paiement]]="",$D$4-Tableau3453[[#This Row],[Date
de la facture]],Tableau3453[[#This Row],[Date 
du paiement]]-Tableau3453[[#This Row],[Date
de la facture]])</f>
        <v>50</v>
      </c>
      <c r="N324" s="241" t="str">
        <f>IF(Tableau3453[[#This Row],[Date 
du paiement]]="",IF(Tableau3453[[#This Row],[Jours]]&lt;30,Tableau3453[[#This Row],[Montant
de la facture
CHF]],""),"")</f>
        <v/>
      </c>
      <c r="O324" s="241" t="str">
        <f>IF(Tableau3453[[#This Row],[Date 
du paiement]]="",IF(Tableau3453[[#This Row],[Jours]]&gt;30,IF(Tableau3453[[#This Row],[Jours]]&lt;60,Tableau3453[[#This Row],[Montant
de la facture
CHF]],""),""),"")</f>
        <v/>
      </c>
      <c r="P324" s="241" t="str">
        <f>IF(Tableau3453[[#This Row],[Date 
du paiement]]="",IF(Tableau3453[[#This Row],[Jours]]&gt;60,Tableau3453[[#This Row],[Montant
de la facture
CHF]],""),"")</f>
        <v/>
      </c>
      <c r="Q324" s="249"/>
      <c r="R324" s="250" t="str">
        <f>Tableau3453[[#This Row],[Solde 
ouverte
fm]]</f>
        <v/>
      </c>
      <c r="S3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5" spans="1:19" hidden="1" outlineLevel="1" x14ac:dyDescent="0.25">
      <c r="A325" s="238">
        <v>240260</v>
      </c>
      <c r="B325" s="239" t="s">
        <v>860</v>
      </c>
      <c r="C325" s="352" t="str">
        <f>IF(Tableau3453[[#This Row],[Date 
du paiement]]="",IF(Tableau3453[[#This Row],[Jours]]&gt;Tableau3453[[#This Row],[Conditions
pmt+]]+5,"oui",""),"")</f>
        <v/>
      </c>
      <c r="D325" s="238" t="s">
        <v>909</v>
      </c>
      <c r="E325" s="240">
        <v>45427</v>
      </c>
      <c r="F325" s="241">
        <v>12342.65</v>
      </c>
      <c r="G325" s="242" t="str">
        <f>IF(Tableau3453[[#This Row],[Date 
du paiement]]="",Tableau3453[[#This Row],[Montant
de la facture
CHF]],"")</f>
        <v/>
      </c>
      <c r="H325" s="243" t="s">
        <v>1025</v>
      </c>
      <c r="I325" s="245">
        <v>45433</v>
      </c>
      <c r="J325" s="246">
        <v>45481</v>
      </c>
      <c r="K325" s="247" t="s">
        <v>58</v>
      </c>
      <c r="L325" s="248">
        <v>2</v>
      </c>
      <c r="M325" s="248">
        <f>IF(Tableau3453[[#This Row],[Date 
du paiement]]="",$D$4-Tableau3453[[#This Row],[Date
de la facture]],Tableau3453[[#This Row],[Date 
du paiement]]-Tableau3453[[#This Row],[Date
de la facture]])</f>
        <v>54</v>
      </c>
      <c r="N325" s="241" t="str">
        <f>IF(Tableau3453[[#This Row],[Date 
du paiement]]="",IF(Tableau3453[[#This Row],[Jours]]&lt;30,Tableau3453[[#This Row],[Montant
de la facture
CHF]],""),"")</f>
        <v/>
      </c>
      <c r="O325" s="241" t="str">
        <f>IF(Tableau3453[[#This Row],[Date 
du paiement]]="",IF(Tableau3453[[#This Row],[Jours]]&gt;30,IF(Tableau3453[[#This Row],[Jours]]&lt;60,Tableau3453[[#This Row],[Montant
de la facture
CHF]],""),""),"")</f>
        <v/>
      </c>
      <c r="P325" s="241" t="str">
        <f>IF(Tableau3453[[#This Row],[Date 
du paiement]]="",IF(Tableau3453[[#This Row],[Jours]]&gt;60,Tableau3453[[#This Row],[Montant
de la facture
CHF]],""),"")</f>
        <v/>
      </c>
      <c r="Q325" s="249" t="s">
        <v>1050</v>
      </c>
      <c r="R325" s="250" t="str">
        <f>Tableau3453[[#This Row],[Solde 
ouverte
fm]]</f>
        <v/>
      </c>
      <c r="S32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6" spans="1:19" hidden="1" outlineLevel="1" x14ac:dyDescent="0.25">
      <c r="A326" s="238">
        <v>240448</v>
      </c>
      <c r="B326" s="239" t="s">
        <v>860</v>
      </c>
      <c r="C326" s="352" t="str">
        <f>IF(Tableau3453[[#This Row],[Date 
du paiement]]="",IF(Tableau3453[[#This Row],[Jours]]&gt;Tableau3453[[#This Row],[Conditions
pmt+]]+5,"oui",""),"")</f>
        <v/>
      </c>
      <c r="D326" s="238" t="s">
        <v>902</v>
      </c>
      <c r="E326" s="240">
        <v>45427</v>
      </c>
      <c r="F326" s="241">
        <v>779.4</v>
      </c>
      <c r="G326" s="242" t="str">
        <f>IF(Tableau3453[[#This Row],[Date 
du paiement]]="",Tableau3453[[#This Row],[Montant
de la facture
CHF]],"")</f>
        <v/>
      </c>
      <c r="H326" s="243"/>
      <c r="I326" s="245">
        <v>45427</v>
      </c>
      <c r="J326" s="246">
        <v>45464</v>
      </c>
      <c r="K326" s="247" t="s">
        <v>58</v>
      </c>
      <c r="L326" s="248"/>
      <c r="M326" s="248">
        <f>IF(Tableau3453[[#This Row],[Date 
du paiement]]="",$D$4-Tableau3453[[#This Row],[Date
de la facture]],Tableau3453[[#This Row],[Date 
du paiement]]-Tableau3453[[#This Row],[Date
de la facture]])</f>
        <v>37</v>
      </c>
      <c r="N326" s="241" t="str">
        <f>IF(Tableau3453[[#This Row],[Date 
du paiement]]="",IF(Tableau3453[[#This Row],[Jours]]&lt;30,Tableau3453[[#This Row],[Montant
de la facture
CHF]],""),"")</f>
        <v/>
      </c>
      <c r="O326" s="241" t="str">
        <f>IF(Tableau3453[[#This Row],[Date 
du paiement]]="",IF(Tableau3453[[#This Row],[Jours]]&gt;30,IF(Tableau3453[[#This Row],[Jours]]&lt;60,Tableau3453[[#This Row],[Montant
de la facture
CHF]],""),""),"")</f>
        <v/>
      </c>
      <c r="P326" s="241" t="str">
        <f>IF(Tableau3453[[#This Row],[Date 
du paiement]]="",IF(Tableau3453[[#This Row],[Jours]]&gt;60,Tableau3453[[#This Row],[Montant
de la facture
CHF]],""),"")</f>
        <v/>
      </c>
      <c r="Q326" s="249"/>
      <c r="R326" s="250" t="str">
        <f>Tableau3453[[#This Row],[Solde 
ouverte
fm]]</f>
        <v/>
      </c>
      <c r="S3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7" spans="1:19" hidden="1" outlineLevel="1" x14ac:dyDescent="0.25">
      <c r="A327" s="238">
        <v>240449</v>
      </c>
      <c r="B327" s="239" t="s">
        <v>860</v>
      </c>
      <c r="C327" s="352" t="str">
        <f>IF(Tableau3453[[#This Row],[Date 
du paiement]]="",IF(Tableau3453[[#This Row],[Jours]]&gt;Tableau3453[[#This Row],[Conditions
pmt+]]+5,"oui",""),"")</f>
        <v/>
      </c>
      <c r="D327" s="238" t="s">
        <v>902</v>
      </c>
      <c r="E327" s="240">
        <v>45427</v>
      </c>
      <c r="F327" s="241">
        <v>1528.75</v>
      </c>
      <c r="G327" s="242" t="str">
        <f>IF(Tableau3453[[#This Row],[Date 
du paiement]]="",Tableau3453[[#This Row],[Montant
de la facture
CHF]],"")</f>
        <v/>
      </c>
      <c r="H327" s="243"/>
      <c r="I327" s="245">
        <v>45427</v>
      </c>
      <c r="J327" s="246">
        <v>45464</v>
      </c>
      <c r="K327" s="247" t="s">
        <v>58</v>
      </c>
      <c r="L327" s="248"/>
      <c r="M327" s="248">
        <f>IF(Tableau3453[[#This Row],[Date 
du paiement]]="",$D$4-Tableau3453[[#This Row],[Date
de la facture]],Tableau3453[[#This Row],[Date 
du paiement]]-Tableau3453[[#This Row],[Date
de la facture]])</f>
        <v>37</v>
      </c>
      <c r="N327" s="241" t="str">
        <f>IF(Tableau3453[[#This Row],[Date 
du paiement]]="",IF(Tableau3453[[#This Row],[Jours]]&lt;30,Tableau3453[[#This Row],[Montant
de la facture
CHF]],""),"")</f>
        <v/>
      </c>
      <c r="O327" s="241" t="str">
        <f>IF(Tableau3453[[#This Row],[Date 
du paiement]]="",IF(Tableau3453[[#This Row],[Jours]]&gt;30,IF(Tableau3453[[#This Row],[Jours]]&lt;60,Tableau3453[[#This Row],[Montant
de la facture
CHF]],""),""),"")</f>
        <v/>
      </c>
      <c r="P327" s="241" t="str">
        <f>IF(Tableau3453[[#This Row],[Date 
du paiement]]="",IF(Tableau3453[[#This Row],[Jours]]&gt;60,Tableau3453[[#This Row],[Montant
de la facture
CHF]],""),"")</f>
        <v/>
      </c>
      <c r="Q327" s="249"/>
      <c r="R327" s="250" t="str">
        <f>Tableau3453[[#This Row],[Solde 
ouverte
fm]]</f>
        <v/>
      </c>
      <c r="S3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8" spans="1:19" hidden="1" outlineLevel="1" x14ac:dyDescent="0.25">
      <c r="A328" s="238">
        <v>240450</v>
      </c>
      <c r="B328" s="239" t="s">
        <v>860</v>
      </c>
      <c r="C328" s="352" t="str">
        <f>IF(Tableau3453[[#This Row],[Date 
du paiement]]="",IF(Tableau3453[[#This Row],[Jours]]&gt;Tableau3453[[#This Row],[Conditions
pmt+]]+5,"oui",""),"")</f>
        <v/>
      </c>
      <c r="D328" s="238" t="s">
        <v>902</v>
      </c>
      <c r="E328" s="240">
        <v>45427</v>
      </c>
      <c r="F328" s="241">
        <v>1271.25</v>
      </c>
      <c r="G328" s="242" t="str">
        <f>IF(Tableau3453[[#This Row],[Date 
du paiement]]="",Tableau3453[[#This Row],[Montant
de la facture
CHF]],"")</f>
        <v/>
      </c>
      <c r="H328" s="243"/>
      <c r="I328" s="245">
        <v>45427</v>
      </c>
      <c r="J328" s="246">
        <v>45457</v>
      </c>
      <c r="K328" s="247" t="s">
        <v>58</v>
      </c>
      <c r="L328" s="248"/>
      <c r="M328" s="248">
        <f>IF(Tableau3453[[#This Row],[Date 
du paiement]]="",$D$4-Tableau3453[[#This Row],[Date
de la facture]],Tableau3453[[#This Row],[Date 
du paiement]]-Tableau3453[[#This Row],[Date
de la facture]])</f>
        <v>30</v>
      </c>
      <c r="N328" s="241" t="str">
        <f>IF(Tableau3453[[#This Row],[Date 
du paiement]]="",IF(Tableau3453[[#This Row],[Jours]]&lt;30,Tableau3453[[#This Row],[Montant
de la facture
CHF]],""),"")</f>
        <v/>
      </c>
      <c r="O328" s="241" t="str">
        <f>IF(Tableau3453[[#This Row],[Date 
du paiement]]="",IF(Tableau3453[[#This Row],[Jours]]&gt;30,IF(Tableau3453[[#This Row],[Jours]]&lt;60,Tableau3453[[#This Row],[Montant
de la facture
CHF]],""),""),"")</f>
        <v/>
      </c>
      <c r="P328" s="241" t="str">
        <f>IF(Tableau3453[[#This Row],[Date 
du paiement]]="",IF(Tableau3453[[#This Row],[Jours]]&gt;60,Tableau3453[[#This Row],[Montant
de la facture
CHF]],""),"")</f>
        <v/>
      </c>
      <c r="Q328" s="249"/>
      <c r="R328" s="250" t="str">
        <f>Tableau3453[[#This Row],[Solde 
ouverte
fm]]</f>
        <v/>
      </c>
      <c r="S3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29" spans="1:19" hidden="1" outlineLevel="1" x14ac:dyDescent="0.25">
      <c r="A329" s="238">
        <v>240489</v>
      </c>
      <c r="B329" s="239" t="s">
        <v>860</v>
      </c>
      <c r="C329" s="352" t="str">
        <f>IF(Tableau3453[[#This Row],[Date 
du paiement]]="",IF(Tableau3453[[#This Row],[Jours]]&gt;Tableau3453[[#This Row],[Conditions
pmt+]]+5,"oui",""),"")</f>
        <v/>
      </c>
      <c r="D329" s="238" t="s">
        <v>941</v>
      </c>
      <c r="E329" s="240">
        <v>45427</v>
      </c>
      <c r="F329" s="241">
        <v>1912.15</v>
      </c>
      <c r="G329" s="242" t="str">
        <f>IF(Tableau3453[[#This Row],[Date 
du paiement]]="",Tableau3453[[#This Row],[Montant
de la facture
CHF]],"")</f>
        <v/>
      </c>
      <c r="H329" s="243"/>
      <c r="I329" s="245">
        <v>45433</v>
      </c>
      <c r="J329" s="246">
        <v>45443</v>
      </c>
      <c r="K329" s="247" t="s">
        <v>58</v>
      </c>
      <c r="L329" s="248"/>
      <c r="M329" s="248">
        <f>IF(Tableau3453[[#This Row],[Date 
du paiement]]="",$D$4-Tableau3453[[#This Row],[Date
de la facture]],Tableau3453[[#This Row],[Date 
du paiement]]-Tableau3453[[#This Row],[Date
de la facture]])</f>
        <v>16</v>
      </c>
      <c r="N329" s="241" t="str">
        <f>IF(Tableau3453[[#This Row],[Date 
du paiement]]="",IF(Tableau3453[[#This Row],[Jours]]&lt;30,Tableau3453[[#This Row],[Montant
de la facture
CHF]],""),"")</f>
        <v/>
      </c>
      <c r="O329" s="241" t="str">
        <f>IF(Tableau3453[[#This Row],[Date 
du paiement]]="",IF(Tableau3453[[#This Row],[Jours]]&gt;30,IF(Tableau3453[[#This Row],[Jours]]&lt;60,Tableau3453[[#This Row],[Montant
de la facture
CHF]],""),""),"")</f>
        <v/>
      </c>
      <c r="P329" s="241" t="str">
        <f>IF(Tableau3453[[#This Row],[Date 
du paiement]]="",IF(Tableau3453[[#This Row],[Jours]]&gt;60,Tableau3453[[#This Row],[Montant
de la facture
CHF]],""),"")</f>
        <v/>
      </c>
      <c r="Q329" s="249"/>
      <c r="R329" s="250" t="str">
        <f>Tableau3453[[#This Row],[Solde 
ouverte
fm]]</f>
        <v/>
      </c>
      <c r="S32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0" spans="1:19" hidden="1" outlineLevel="1" x14ac:dyDescent="0.25">
      <c r="A330" s="238">
        <v>240061</v>
      </c>
      <c r="B330" s="239" t="s">
        <v>860</v>
      </c>
      <c r="C330" s="352" t="str">
        <f>IF(Tableau3453[[#This Row],[Date 
du paiement]]="",IF(Tableau3453[[#This Row],[Jours]]&gt;Tableau3453[[#This Row],[Conditions
pmt+]]+5,"oui",""),"")</f>
        <v/>
      </c>
      <c r="D330" s="238" t="s">
        <v>934</v>
      </c>
      <c r="E330" s="240">
        <v>45428</v>
      </c>
      <c r="F330" s="241">
        <v>8188.5</v>
      </c>
      <c r="G330" s="242" t="str">
        <f>IF(Tableau3453[[#This Row],[Date 
du paiement]]="",Tableau3453[[#This Row],[Montant
de la facture
CHF]],"")</f>
        <v/>
      </c>
      <c r="H330" s="243"/>
      <c r="I330" s="245">
        <v>45433</v>
      </c>
      <c r="J330" s="246">
        <v>45461</v>
      </c>
      <c r="K330" s="247" t="s">
        <v>58</v>
      </c>
      <c r="L330" s="248"/>
      <c r="M330" s="248">
        <f>IF(Tableau3453[[#This Row],[Date 
du paiement]]="",$D$4-Tableau3453[[#This Row],[Date
de la facture]],Tableau3453[[#This Row],[Date 
du paiement]]-Tableau3453[[#This Row],[Date
de la facture]])</f>
        <v>33</v>
      </c>
      <c r="N330" s="241" t="str">
        <f>IF(Tableau3453[[#This Row],[Date 
du paiement]]="",IF(Tableau3453[[#This Row],[Jours]]&lt;30,Tableau3453[[#This Row],[Montant
de la facture
CHF]],""),"")</f>
        <v/>
      </c>
      <c r="O330" s="241" t="str">
        <f>IF(Tableau3453[[#This Row],[Date 
du paiement]]="",IF(Tableau3453[[#This Row],[Jours]]&gt;30,IF(Tableau3453[[#This Row],[Jours]]&lt;60,Tableau3453[[#This Row],[Montant
de la facture
CHF]],""),""),"")</f>
        <v/>
      </c>
      <c r="P330" s="241" t="str">
        <f>IF(Tableau3453[[#This Row],[Date 
du paiement]]="",IF(Tableau3453[[#This Row],[Jours]]&gt;60,Tableau3453[[#This Row],[Montant
de la facture
CHF]],""),"")</f>
        <v/>
      </c>
      <c r="Q330" s="249"/>
      <c r="R330" s="250" t="str">
        <f>Tableau3453[[#This Row],[Solde 
ouverte
fm]]</f>
        <v/>
      </c>
      <c r="S3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1" spans="1:19" hidden="1" outlineLevel="1" x14ac:dyDescent="0.25">
      <c r="A331" s="238">
        <v>240401</v>
      </c>
      <c r="B331" s="239" t="s">
        <v>860</v>
      </c>
      <c r="C331" s="352" t="str">
        <f>IF(Tableau3453[[#This Row],[Date 
du paiement]]="",IF(Tableau3453[[#This Row],[Jours]]&gt;Tableau3453[[#This Row],[Conditions
pmt+]]+5,"oui",""),"")</f>
        <v/>
      </c>
      <c r="D331" s="238" t="s">
        <v>1017</v>
      </c>
      <c r="E331" s="240">
        <v>45428</v>
      </c>
      <c r="F331" s="241">
        <v>258.14999999999998</v>
      </c>
      <c r="G331" s="242" t="str">
        <f>IF(Tableau3453[[#This Row],[Date 
du paiement]]="",Tableau3453[[#This Row],[Montant
de la facture
CHF]],"")</f>
        <v/>
      </c>
      <c r="H331" s="243" t="s">
        <v>1018</v>
      </c>
      <c r="I331" s="245">
        <v>45433</v>
      </c>
      <c r="J331" s="246">
        <v>45427</v>
      </c>
      <c r="K331" s="247" t="s">
        <v>58</v>
      </c>
      <c r="L331" s="248"/>
      <c r="M331" s="248">
        <f>IF(Tableau3453[[#This Row],[Date 
du paiement]]="",$D$4-Tableau3453[[#This Row],[Date
de la facture]],Tableau3453[[#This Row],[Date 
du paiement]]-Tableau3453[[#This Row],[Date
de la facture]])</f>
        <v>-1</v>
      </c>
      <c r="N331" s="241" t="str">
        <f>IF(Tableau3453[[#This Row],[Date 
du paiement]]="",IF(Tableau3453[[#This Row],[Jours]]&lt;30,Tableau3453[[#This Row],[Montant
de la facture
CHF]],""),"")</f>
        <v/>
      </c>
      <c r="O331" s="241" t="str">
        <f>IF(Tableau3453[[#This Row],[Date 
du paiement]]="",IF(Tableau3453[[#This Row],[Jours]]&gt;30,IF(Tableau3453[[#This Row],[Jours]]&lt;60,Tableau3453[[#This Row],[Montant
de la facture
CHF]],""),""),"")</f>
        <v/>
      </c>
      <c r="P331" s="241" t="str">
        <f>IF(Tableau3453[[#This Row],[Date 
du paiement]]="",IF(Tableau3453[[#This Row],[Jours]]&gt;60,Tableau3453[[#This Row],[Montant
de la facture
CHF]],""),"")</f>
        <v/>
      </c>
      <c r="Q331" s="249"/>
      <c r="R331" s="267" t="str">
        <f>Tableau3453[[#This Row],[Solde 
ouverte
fm]]</f>
        <v/>
      </c>
      <c r="S3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2" spans="1:19" hidden="1" outlineLevel="1" x14ac:dyDescent="0.25">
      <c r="A332" s="238">
        <v>240116</v>
      </c>
      <c r="B332" s="239" t="s">
        <v>860</v>
      </c>
      <c r="C332" s="352" t="str">
        <f>IF(Tableau3453[[#This Row],[Date 
du paiement]]="",IF(Tableau3453[[#This Row],[Jours]]&gt;Tableau3453[[#This Row],[Conditions
pmt+]]+5,"oui",""),"")</f>
        <v/>
      </c>
      <c r="D332" s="238" t="s">
        <v>908</v>
      </c>
      <c r="E332" s="240">
        <v>45429</v>
      </c>
      <c r="F332" s="241">
        <v>15756.5</v>
      </c>
      <c r="G332" s="242" t="str">
        <f>IF(Tableau3453[[#This Row],[Date 
du paiement]]="",Tableau3453[[#This Row],[Montant
de la facture
CHF]],"")</f>
        <v/>
      </c>
      <c r="H332" s="243"/>
      <c r="I332" s="245">
        <v>45434</v>
      </c>
      <c r="J332" s="246">
        <v>45488</v>
      </c>
      <c r="K332" s="247" t="s">
        <v>58</v>
      </c>
      <c r="L332" s="248">
        <v>3</v>
      </c>
      <c r="M332" s="248">
        <f>IF(Tableau3453[[#This Row],[Date 
du paiement]]="",$D$4-Tableau3453[[#This Row],[Date
de la facture]],Tableau3453[[#This Row],[Date 
du paiement]]-Tableau3453[[#This Row],[Date
de la facture]])</f>
        <v>59</v>
      </c>
      <c r="N332" s="241" t="str">
        <f>IF(Tableau3453[[#This Row],[Date 
du paiement]]="",IF(Tableau3453[[#This Row],[Jours]]&lt;30,Tableau3453[[#This Row],[Montant
de la facture
CHF]],""),"")</f>
        <v/>
      </c>
      <c r="O332" s="241" t="str">
        <f>IF(Tableau3453[[#This Row],[Date 
du paiement]]="",IF(Tableau3453[[#This Row],[Jours]]&gt;30,IF(Tableau3453[[#This Row],[Jours]]&lt;60,Tableau3453[[#This Row],[Montant
de la facture
CHF]],""),""),"")</f>
        <v/>
      </c>
      <c r="P332" s="241" t="str">
        <f>IF(Tableau3453[[#This Row],[Date 
du paiement]]="",IF(Tableau3453[[#This Row],[Jours]]&gt;60,Tableau3453[[#This Row],[Montant
de la facture
CHF]],""),"")</f>
        <v/>
      </c>
      <c r="Q332" s="249" t="s">
        <v>1169</v>
      </c>
      <c r="R332" s="250" t="str">
        <f>Tableau3453[[#This Row],[Solde 
ouverte
fm]]</f>
        <v/>
      </c>
      <c r="S3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3" spans="1:19" hidden="1" outlineLevel="1" x14ac:dyDescent="0.25">
      <c r="A333" s="238">
        <v>240496</v>
      </c>
      <c r="B333" s="239" t="s">
        <v>860</v>
      </c>
      <c r="C333" s="352" t="str">
        <f>IF(Tableau3453[[#This Row],[Date 
du paiement]]="",IF(Tableau3453[[#This Row],[Jours]]&gt;Tableau3453[[#This Row],[Conditions
pmt+]]+5,"oui",""),"")</f>
        <v/>
      </c>
      <c r="D333" s="238" t="s">
        <v>934</v>
      </c>
      <c r="E333" s="240">
        <v>45429</v>
      </c>
      <c r="F333" s="241">
        <v>413.65</v>
      </c>
      <c r="G333" s="242" t="str">
        <f>IF(Tableau3453[[#This Row],[Date 
du paiement]]="",Tableau3453[[#This Row],[Montant
de la facture
CHF]],"")</f>
        <v/>
      </c>
      <c r="H333" s="243"/>
      <c r="I333" s="245">
        <v>45433</v>
      </c>
      <c r="J333" s="246">
        <v>45461</v>
      </c>
      <c r="K333" s="247" t="s">
        <v>58</v>
      </c>
      <c r="L333" s="248"/>
      <c r="M333" s="248">
        <f>IF(Tableau3453[[#This Row],[Date 
du paiement]]="",$D$4-Tableau3453[[#This Row],[Date
de la facture]],Tableau3453[[#This Row],[Date 
du paiement]]-Tableau3453[[#This Row],[Date
de la facture]])</f>
        <v>32</v>
      </c>
      <c r="N333" s="241" t="str">
        <f>IF(Tableau3453[[#This Row],[Date 
du paiement]]="",IF(Tableau3453[[#This Row],[Jours]]&lt;30,Tableau3453[[#This Row],[Montant
de la facture
CHF]],""),"")</f>
        <v/>
      </c>
      <c r="O333" s="241" t="str">
        <f>IF(Tableau3453[[#This Row],[Date 
du paiement]]="",IF(Tableau3453[[#This Row],[Jours]]&gt;30,IF(Tableau3453[[#This Row],[Jours]]&lt;60,Tableau3453[[#This Row],[Montant
de la facture
CHF]],""),""),"")</f>
        <v/>
      </c>
      <c r="P333" s="241" t="str">
        <f>IF(Tableau3453[[#This Row],[Date 
du paiement]]="",IF(Tableau3453[[#This Row],[Jours]]&gt;60,Tableau3453[[#This Row],[Montant
de la facture
CHF]],""),"")</f>
        <v/>
      </c>
      <c r="Q333" s="249"/>
      <c r="R333" s="250" t="str">
        <f>Tableau3453[[#This Row],[Solde 
ouverte
fm]]</f>
        <v/>
      </c>
      <c r="S33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4" spans="1:19" hidden="1" outlineLevel="1" x14ac:dyDescent="0.25">
      <c r="A334" s="238">
        <v>240495</v>
      </c>
      <c r="B334" s="239" t="s">
        <v>860</v>
      </c>
      <c r="C334" s="352" t="str">
        <f>IF(Tableau3453[[#This Row],[Date 
du paiement]]="",IF(Tableau3453[[#This Row],[Jours]]&gt;Tableau3453[[#This Row],[Conditions
pmt+]]+5,"oui",""),"")</f>
        <v/>
      </c>
      <c r="D334" s="238" t="s">
        <v>934</v>
      </c>
      <c r="E334" s="240">
        <v>45429</v>
      </c>
      <c r="F334" s="241">
        <v>413.65</v>
      </c>
      <c r="G334" s="242" t="str">
        <f>IF(Tableau3453[[#This Row],[Date 
du paiement]]="",Tableau3453[[#This Row],[Montant
de la facture
CHF]],"")</f>
        <v/>
      </c>
      <c r="H334" s="243"/>
      <c r="I334" s="245">
        <v>45433</v>
      </c>
      <c r="J334" s="246">
        <v>45461</v>
      </c>
      <c r="K334" s="247" t="s">
        <v>58</v>
      </c>
      <c r="L334" s="248"/>
      <c r="M334" s="248">
        <f>IF(Tableau3453[[#This Row],[Date 
du paiement]]="",$D$4-Tableau3453[[#This Row],[Date
de la facture]],Tableau3453[[#This Row],[Date 
du paiement]]-Tableau3453[[#This Row],[Date
de la facture]])</f>
        <v>32</v>
      </c>
      <c r="N334" s="241" t="str">
        <f>IF(Tableau3453[[#This Row],[Date 
du paiement]]="",IF(Tableau3453[[#This Row],[Jours]]&lt;30,Tableau3453[[#This Row],[Montant
de la facture
CHF]],""),"")</f>
        <v/>
      </c>
      <c r="O334" s="241" t="str">
        <f>IF(Tableau3453[[#This Row],[Date 
du paiement]]="",IF(Tableau3453[[#This Row],[Jours]]&gt;30,IF(Tableau3453[[#This Row],[Jours]]&lt;60,Tableau3453[[#This Row],[Montant
de la facture
CHF]],""),""),"")</f>
        <v/>
      </c>
      <c r="P334" s="241" t="str">
        <f>IF(Tableau3453[[#This Row],[Date 
du paiement]]="",IF(Tableau3453[[#This Row],[Jours]]&gt;60,Tableau3453[[#This Row],[Montant
de la facture
CHF]],""),"")</f>
        <v/>
      </c>
      <c r="Q334" s="249"/>
      <c r="R334" s="250" t="str">
        <f>Tableau3453[[#This Row],[Solde 
ouverte
fm]]</f>
        <v/>
      </c>
      <c r="S3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5" spans="1:19" hidden="1" outlineLevel="1" x14ac:dyDescent="0.25">
      <c r="A335" s="238">
        <v>240279</v>
      </c>
      <c r="B335" s="239" t="s">
        <v>860</v>
      </c>
      <c r="C335" s="352" t="str">
        <f>IF(Tableau3453[[#This Row],[Date 
du paiement]]="",IF(Tableau3453[[#This Row],[Jours]]&gt;Tableau3453[[#This Row],[Conditions
pmt+]]+5,"oui",""),"")</f>
        <v/>
      </c>
      <c r="D335" s="238" t="s">
        <v>1019</v>
      </c>
      <c r="E335" s="240">
        <v>45429</v>
      </c>
      <c r="F335" s="241">
        <v>892.85</v>
      </c>
      <c r="G335" s="242" t="str">
        <f>IF(Tableau3453[[#This Row],[Date 
du paiement]]="",Tableau3453[[#This Row],[Montant
de la facture
CHF]],"")</f>
        <v/>
      </c>
      <c r="H335" s="243"/>
      <c r="I335" s="245">
        <v>45433</v>
      </c>
      <c r="J335" s="246">
        <v>45450</v>
      </c>
      <c r="K335" s="247" t="s">
        <v>58</v>
      </c>
      <c r="L335" s="248"/>
      <c r="M335" s="248">
        <f>IF(Tableau3453[[#This Row],[Date 
du paiement]]="",$D$4-Tableau3453[[#This Row],[Date
de la facture]],Tableau3453[[#This Row],[Date 
du paiement]]-Tableau3453[[#This Row],[Date
de la facture]])</f>
        <v>21</v>
      </c>
      <c r="N335" s="241" t="str">
        <f>IF(Tableau3453[[#This Row],[Date 
du paiement]]="",IF(Tableau3453[[#This Row],[Jours]]&lt;30,Tableau3453[[#This Row],[Montant
de la facture
CHF]],""),"")</f>
        <v/>
      </c>
      <c r="O335" s="241" t="str">
        <f>IF(Tableau3453[[#This Row],[Date 
du paiement]]="",IF(Tableau3453[[#This Row],[Jours]]&gt;30,IF(Tableau3453[[#This Row],[Jours]]&lt;60,Tableau3453[[#This Row],[Montant
de la facture
CHF]],""),""),"")</f>
        <v/>
      </c>
      <c r="P335" s="241" t="str">
        <f>IF(Tableau3453[[#This Row],[Date 
du paiement]]="",IF(Tableau3453[[#This Row],[Jours]]&gt;60,Tableau3453[[#This Row],[Montant
de la facture
CHF]],""),"")</f>
        <v/>
      </c>
      <c r="Q335" s="249"/>
      <c r="R335" s="250" t="str">
        <f>Tableau3453[[#This Row],[Solde 
ouverte
fm]]</f>
        <v/>
      </c>
      <c r="S3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6" spans="1:19" hidden="1" outlineLevel="1" x14ac:dyDescent="0.25">
      <c r="A336" s="238">
        <v>240494</v>
      </c>
      <c r="B336" s="239" t="s">
        <v>857</v>
      </c>
      <c r="C336" s="352" t="str">
        <f>IF(Tableau3453[[#This Row],[Date 
du paiement]]="",IF(Tableau3453[[#This Row],[Jours]]&gt;Tableau3453[[#This Row],[Conditions
pmt+]]+5,"oui",""),"")</f>
        <v/>
      </c>
      <c r="D336" s="251" t="s">
        <v>865</v>
      </c>
      <c r="E336" s="240">
        <v>45429</v>
      </c>
      <c r="F336" s="241">
        <v>256.75</v>
      </c>
      <c r="G336" s="242" t="str">
        <f>IF(Tableau3453[[#This Row],[Date 
du paiement]]="",Tableau3453[[#This Row],[Montant
de la facture
CHF]],"")</f>
        <v/>
      </c>
      <c r="H336" s="243"/>
      <c r="I336" s="245">
        <v>45433</v>
      </c>
      <c r="J336" s="246">
        <v>45491</v>
      </c>
      <c r="K336" s="247" t="s">
        <v>58</v>
      </c>
      <c r="L336" s="248"/>
      <c r="M336" s="248">
        <f>IF(Tableau3453[[#This Row],[Date 
du paiement]]="",$D$4-Tableau3453[[#This Row],[Date
de la facture]],Tableau3453[[#This Row],[Date 
du paiement]]-Tableau3453[[#This Row],[Date
de la facture]])</f>
        <v>62</v>
      </c>
      <c r="N336" s="241" t="str">
        <f>IF(Tableau3453[[#This Row],[Date 
du paiement]]="",IF(Tableau3453[[#This Row],[Jours]]&lt;30,Tableau3453[[#This Row],[Montant
de la facture
CHF]],""),"")</f>
        <v/>
      </c>
      <c r="O336" s="241" t="str">
        <f>IF(Tableau3453[[#This Row],[Date 
du paiement]]="",IF(Tableau3453[[#This Row],[Jours]]&gt;30,IF(Tableau3453[[#This Row],[Jours]]&lt;60,Tableau3453[[#This Row],[Montant
de la facture
CHF]],""),""),"")</f>
        <v/>
      </c>
      <c r="P336" s="241" t="str">
        <f>IF(Tableau3453[[#This Row],[Date 
du paiement]]="",IF(Tableau3453[[#This Row],[Jours]]&gt;60,Tableau3453[[#This Row],[Montant
de la facture
CHF]],""),"")</f>
        <v/>
      </c>
      <c r="Q336" s="249"/>
      <c r="R336" s="250" t="str">
        <f>Tableau3453[[#This Row],[Solde 
ouverte
fm]]</f>
        <v/>
      </c>
      <c r="S33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7" spans="1:19" hidden="1" outlineLevel="1" x14ac:dyDescent="0.25">
      <c r="A337" s="238">
        <v>240491</v>
      </c>
      <c r="B337" s="239" t="s">
        <v>860</v>
      </c>
      <c r="C337" s="352" t="str">
        <f>IF(Tableau3453[[#This Row],[Date 
du paiement]]="",IF(Tableau3453[[#This Row],[Jours]]&gt;Tableau3453[[#This Row],[Conditions
pmt+]]+5,"oui",""),"")</f>
        <v/>
      </c>
      <c r="D337" s="238" t="s">
        <v>1020</v>
      </c>
      <c r="E337" s="240">
        <v>45429</v>
      </c>
      <c r="F337" s="241">
        <v>0</v>
      </c>
      <c r="G337" s="242" t="str">
        <f>IF(Tableau3453[[#This Row],[Date 
du paiement]]="",Tableau3453[[#This Row],[Montant
de la facture
CHF]],"")</f>
        <v/>
      </c>
      <c r="H337" s="243"/>
      <c r="I337" s="245" t="s">
        <v>883</v>
      </c>
      <c r="J337" s="246">
        <v>45429</v>
      </c>
      <c r="K337" s="247" t="s">
        <v>884</v>
      </c>
      <c r="L337" s="248"/>
      <c r="M337" s="248">
        <f>IF(Tableau3453[[#This Row],[Date 
du paiement]]="",$D$4-Tableau3453[[#This Row],[Date
de la facture]],Tableau3453[[#This Row],[Date 
du paiement]]-Tableau3453[[#This Row],[Date
de la facture]])</f>
        <v>0</v>
      </c>
      <c r="N337" s="241" t="str">
        <f>IF(Tableau3453[[#This Row],[Date 
du paiement]]="",IF(Tableau3453[[#This Row],[Jours]]&lt;30,Tableau3453[[#This Row],[Montant
de la facture
CHF]],""),"")</f>
        <v/>
      </c>
      <c r="O337" s="241" t="str">
        <f>IF(Tableau3453[[#This Row],[Date 
du paiement]]="",IF(Tableau3453[[#This Row],[Jours]]&gt;30,IF(Tableau3453[[#This Row],[Jours]]&lt;60,Tableau3453[[#This Row],[Montant
de la facture
CHF]],""),""),"")</f>
        <v/>
      </c>
      <c r="P337" s="241" t="str">
        <f>IF(Tableau3453[[#This Row],[Date 
du paiement]]="",IF(Tableau3453[[#This Row],[Jours]]&gt;60,Tableau3453[[#This Row],[Montant
de la facture
CHF]],""),"")</f>
        <v/>
      </c>
      <c r="Q337" s="249"/>
      <c r="R337" s="267" t="str">
        <f>Tableau3453[[#This Row],[Solde 
ouverte
fm]]</f>
        <v/>
      </c>
      <c r="S33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8" spans="1:19" hidden="1" outlineLevel="1" x14ac:dyDescent="0.25">
      <c r="A338" s="238">
        <v>240482</v>
      </c>
      <c r="B338" s="239" t="s">
        <v>860</v>
      </c>
      <c r="C338" s="352" t="str">
        <f>IF(Tableau3453[[#This Row],[Date 
du paiement]]="",IF(Tableau3453[[#This Row],[Jours]]&gt;Tableau3453[[#This Row],[Conditions
pmt+]]+5,"oui",""),"")</f>
        <v/>
      </c>
      <c r="D338" s="238" t="s">
        <v>902</v>
      </c>
      <c r="E338" s="240">
        <v>45433</v>
      </c>
      <c r="F338" s="241">
        <v>891.85</v>
      </c>
      <c r="G338" s="242" t="str">
        <f>IF(Tableau3453[[#This Row],[Date 
du paiement]]="",Tableau3453[[#This Row],[Montant
de la facture
CHF]],"")</f>
        <v/>
      </c>
      <c r="H338" s="243"/>
      <c r="I338" s="245">
        <v>45435</v>
      </c>
      <c r="J338" s="246">
        <v>45464</v>
      </c>
      <c r="K338" s="247" t="s">
        <v>58</v>
      </c>
      <c r="L338" s="248"/>
      <c r="M338" s="248">
        <f>IF(Tableau3453[[#This Row],[Date 
du paiement]]="",$D$4-Tableau3453[[#This Row],[Date
de la facture]],Tableau3453[[#This Row],[Date 
du paiement]]-Tableau3453[[#This Row],[Date
de la facture]])</f>
        <v>31</v>
      </c>
      <c r="N338" s="241" t="str">
        <f>IF(Tableau3453[[#This Row],[Date 
du paiement]]="",IF(Tableau3453[[#This Row],[Jours]]&lt;30,Tableau3453[[#This Row],[Montant
de la facture
CHF]],""),"")</f>
        <v/>
      </c>
      <c r="O338" s="241" t="str">
        <f>IF(Tableau3453[[#This Row],[Date 
du paiement]]="",IF(Tableau3453[[#This Row],[Jours]]&gt;30,IF(Tableau3453[[#This Row],[Jours]]&lt;60,Tableau3453[[#This Row],[Montant
de la facture
CHF]],""),""),"")</f>
        <v/>
      </c>
      <c r="P338" s="241" t="str">
        <f>IF(Tableau3453[[#This Row],[Date 
du paiement]]="",IF(Tableau3453[[#This Row],[Jours]]&gt;60,Tableau3453[[#This Row],[Montant
de la facture
CHF]],""),"")</f>
        <v/>
      </c>
      <c r="Q338" s="249"/>
      <c r="R338" s="250" t="str">
        <f>Tableau3453[[#This Row],[Solde 
ouverte
fm]]</f>
        <v/>
      </c>
      <c r="S33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39" spans="1:19" hidden="1" outlineLevel="1" x14ac:dyDescent="0.25">
      <c r="A339" s="238">
        <v>240498</v>
      </c>
      <c r="B339" s="239" t="s">
        <v>860</v>
      </c>
      <c r="C339" s="352" t="str">
        <f>IF(Tableau3453[[#This Row],[Date 
du paiement]]="",IF(Tableau3453[[#This Row],[Jours]]&gt;Tableau3453[[#This Row],[Conditions
pmt+]]+5,"oui",""),"")</f>
        <v/>
      </c>
      <c r="D339" s="238" t="s">
        <v>995</v>
      </c>
      <c r="E339" s="240">
        <v>45433</v>
      </c>
      <c r="F339" s="241">
        <v>1258.75</v>
      </c>
      <c r="G339" s="242" t="str">
        <f>IF(Tableau3453[[#This Row],[Date 
du paiement]]="",Tableau3453[[#This Row],[Montant
de la facture
CHF]],"")</f>
        <v/>
      </c>
      <c r="H339" s="243" t="s">
        <v>996</v>
      </c>
      <c r="I339" s="245">
        <v>45435</v>
      </c>
      <c r="J339" s="246">
        <v>45460</v>
      </c>
      <c r="K339" s="247" t="s">
        <v>58</v>
      </c>
      <c r="L339" s="248"/>
      <c r="M339" s="248">
        <f>IF(Tableau3453[[#This Row],[Date 
du paiement]]="",$D$4-Tableau3453[[#This Row],[Date
de la facture]],Tableau3453[[#This Row],[Date 
du paiement]]-Tableau3453[[#This Row],[Date
de la facture]])</f>
        <v>27</v>
      </c>
      <c r="N339" s="241" t="str">
        <f>IF(Tableau3453[[#This Row],[Date 
du paiement]]="",IF(Tableau3453[[#This Row],[Jours]]&lt;30,Tableau3453[[#This Row],[Montant
de la facture
CHF]],""),"")</f>
        <v/>
      </c>
      <c r="O339" s="241" t="str">
        <f>IF(Tableau3453[[#This Row],[Date 
du paiement]]="",IF(Tableau3453[[#This Row],[Jours]]&gt;30,IF(Tableau3453[[#This Row],[Jours]]&lt;60,Tableau3453[[#This Row],[Montant
de la facture
CHF]],""),""),"")</f>
        <v/>
      </c>
      <c r="P339" s="241" t="str">
        <f>IF(Tableau3453[[#This Row],[Date 
du paiement]]="",IF(Tableau3453[[#This Row],[Jours]]&gt;60,Tableau3453[[#This Row],[Montant
de la facture
CHF]],""),"")</f>
        <v/>
      </c>
      <c r="Q339" s="249" t="s">
        <v>997</v>
      </c>
      <c r="R339" s="250" t="str">
        <f>Tableau3453[[#This Row],[Solde 
ouverte
fm]]</f>
        <v/>
      </c>
      <c r="S3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0" spans="1:19" hidden="1" outlineLevel="1" x14ac:dyDescent="0.25">
      <c r="A340" s="238">
        <v>240497</v>
      </c>
      <c r="B340" s="239" t="s">
        <v>860</v>
      </c>
      <c r="C340" s="352" t="str">
        <f>IF(Tableau3453[[#This Row],[Date 
du paiement]]="",IF(Tableau3453[[#This Row],[Jours]]&gt;Tableau3453[[#This Row],[Conditions
pmt+]]+5,"oui",""),"")</f>
        <v/>
      </c>
      <c r="D340" s="238" t="s">
        <v>961</v>
      </c>
      <c r="E340" s="240">
        <v>45433</v>
      </c>
      <c r="F340" s="241">
        <v>162.15</v>
      </c>
      <c r="G340" s="242" t="str">
        <f>IF(Tableau3453[[#This Row],[Date 
du paiement]]="",Tableau3453[[#This Row],[Montant
de la facture
CHF]],"")</f>
        <v/>
      </c>
      <c r="H340" s="243"/>
      <c r="I340" s="245">
        <v>45436</v>
      </c>
      <c r="J340" s="246">
        <v>45446</v>
      </c>
      <c r="K340" s="247" t="s">
        <v>58</v>
      </c>
      <c r="L340" s="248"/>
      <c r="M340" s="248">
        <f>IF(Tableau3453[[#This Row],[Date 
du paiement]]="",$D$4-Tableau3453[[#This Row],[Date
de la facture]],Tableau3453[[#This Row],[Date 
du paiement]]-Tableau3453[[#This Row],[Date
de la facture]])</f>
        <v>13</v>
      </c>
      <c r="N340" s="241" t="str">
        <f>IF(Tableau3453[[#This Row],[Date 
du paiement]]="",IF(Tableau3453[[#This Row],[Jours]]&lt;30,Tableau3453[[#This Row],[Montant
de la facture
CHF]],""),"")</f>
        <v/>
      </c>
      <c r="O340" s="241" t="str">
        <f>IF(Tableau3453[[#This Row],[Date 
du paiement]]="",IF(Tableau3453[[#This Row],[Jours]]&gt;30,IF(Tableau3453[[#This Row],[Jours]]&lt;60,Tableau3453[[#This Row],[Montant
de la facture
CHF]],""),""),"")</f>
        <v/>
      </c>
      <c r="P340" s="241" t="str">
        <f>IF(Tableau3453[[#This Row],[Date 
du paiement]]="",IF(Tableau3453[[#This Row],[Jours]]&gt;60,Tableau3453[[#This Row],[Montant
de la facture
CHF]],""),"")</f>
        <v/>
      </c>
      <c r="Q340" s="249"/>
      <c r="R340" s="250" t="str">
        <f>Tableau3453[[#This Row],[Solde 
ouverte
fm]]</f>
        <v/>
      </c>
      <c r="S34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1" spans="1:19" hidden="1" outlineLevel="1" x14ac:dyDescent="0.25">
      <c r="A341" s="238">
        <v>240256</v>
      </c>
      <c r="B341" s="239" t="s">
        <v>860</v>
      </c>
      <c r="C341" s="352" t="str">
        <f>IF(Tableau3453[[#This Row],[Date 
du paiement]]="",IF(Tableau3453[[#This Row],[Jours]]&gt;Tableau3453[[#This Row],[Conditions
pmt+]]+5,"oui",""),"")</f>
        <v/>
      </c>
      <c r="D341" s="238" t="s">
        <v>961</v>
      </c>
      <c r="E341" s="240">
        <v>45433</v>
      </c>
      <c r="F341" s="241">
        <v>4701.2</v>
      </c>
      <c r="G341" s="242" t="str">
        <f>IF(Tableau3453[[#This Row],[Date 
du paiement]]="",Tableau3453[[#This Row],[Montant
de la facture
CHF]],"")</f>
        <v/>
      </c>
      <c r="H341" s="243"/>
      <c r="I341" s="245">
        <v>45436</v>
      </c>
      <c r="J341" s="246">
        <v>45446</v>
      </c>
      <c r="K341" s="247" t="s">
        <v>58</v>
      </c>
      <c r="L341" s="248"/>
      <c r="M341" s="248">
        <f>IF(Tableau3453[[#This Row],[Date 
du paiement]]="",$D$4-Tableau3453[[#This Row],[Date
de la facture]],Tableau3453[[#This Row],[Date 
du paiement]]-Tableau3453[[#This Row],[Date
de la facture]])</f>
        <v>13</v>
      </c>
      <c r="N341" s="241" t="str">
        <f>IF(Tableau3453[[#This Row],[Date 
du paiement]]="",IF(Tableau3453[[#This Row],[Jours]]&lt;30,Tableau3453[[#This Row],[Montant
de la facture
CHF]],""),"")</f>
        <v/>
      </c>
      <c r="O341" s="241" t="str">
        <f>IF(Tableau3453[[#This Row],[Date 
du paiement]]="",IF(Tableau3453[[#This Row],[Jours]]&gt;30,IF(Tableau3453[[#This Row],[Jours]]&lt;60,Tableau3453[[#This Row],[Montant
de la facture
CHF]],""),""),"")</f>
        <v/>
      </c>
      <c r="P341" s="241" t="str">
        <f>IF(Tableau3453[[#This Row],[Date 
du paiement]]="",IF(Tableau3453[[#This Row],[Jours]]&gt;60,Tableau3453[[#This Row],[Montant
de la facture
CHF]],""),"")</f>
        <v/>
      </c>
      <c r="Q341" s="249"/>
      <c r="R341" s="250" t="str">
        <f>Tableau3453[[#This Row],[Solde 
ouverte
fm]]</f>
        <v/>
      </c>
      <c r="S34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2" spans="1:19" hidden="1" outlineLevel="1" x14ac:dyDescent="0.25">
      <c r="A342" s="238">
        <v>240500</v>
      </c>
      <c r="B342" s="239" t="s">
        <v>860</v>
      </c>
      <c r="C342" s="352" t="str">
        <f>IF(Tableau3453[[#This Row],[Date 
du paiement]]="",IF(Tableau3453[[#This Row],[Jours]]&gt;Tableau3453[[#This Row],[Conditions
pmt+]]+5,"oui",""),"")</f>
        <v/>
      </c>
      <c r="D342" s="238" t="s">
        <v>999</v>
      </c>
      <c r="E342" s="240">
        <v>45433</v>
      </c>
      <c r="F342" s="241">
        <v>3793.3</v>
      </c>
      <c r="G342" s="242" t="str">
        <f>IF(Tableau3453[[#This Row],[Date 
du paiement]]="",Tableau3453[[#This Row],[Montant
de la facture
CHF]],"")</f>
        <v/>
      </c>
      <c r="H342" s="243"/>
      <c r="I342" s="245">
        <v>45436</v>
      </c>
      <c r="J342" s="246">
        <v>45446</v>
      </c>
      <c r="K342" s="247" t="s">
        <v>58</v>
      </c>
      <c r="L342" s="248"/>
      <c r="M342" s="248">
        <f>IF(Tableau3453[[#This Row],[Date 
du paiement]]="",$D$4-Tableau3453[[#This Row],[Date
de la facture]],Tableau3453[[#This Row],[Date 
du paiement]]-Tableau3453[[#This Row],[Date
de la facture]])</f>
        <v>13</v>
      </c>
      <c r="N342" s="241" t="str">
        <f>IF(Tableau3453[[#This Row],[Date 
du paiement]]="",IF(Tableau3453[[#This Row],[Jours]]&lt;30,Tableau3453[[#This Row],[Montant
de la facture
CHF]],""),"")</f>
        <v/>
      </c>
      <c r="O342" s="241" t="str">
        <f>IF(Tableau3453[[#This Row],[Date 
du paiement]]="",IF(Tableau3453[[#This Row],[Jours]]&gt;30,IF(Tableau3453[[#This Row],[Jours]]&lt;60,Tableau3453[[#This Row],[Montant
de la facture
CHF]],""),""),"")</f>
        <v/>
      </c>
      <c r="P342" s="241" t="str">
        <f>IF(Tableau3453[[#This Row],[Date 
du paiement]]="",IF(Tableau3453[[#This Row],[Jours]]&gt;60,Tableau3453[[#This Row],[Montant
de la facture
CHF]],""),"")</f>
        <v/>
      </c>
      <c r="Q342" s="249"/>
      <c r="R342" s="250" t="str">
        <f>Tableau3453[[#This Row],[Solde 
ouverte
fm]]</f>
        <v/>
      </c>
      <c r="S34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3" spans="1:19" hidden="1" outlineLevel="1" x14ac:dyDescent="0.25">
      <c r="A343" s="238">
        <v>240292</v>
      </c>
      <c r="B343" s="239" t="s">
        <v>860</v>
      </c>
      <c r="C343" s="352" t="str">
        <f>IF(Tableau3453[[#This Row],[Date 
du paiement]]="",IF(Tableau3453[[#This Row],[Jours]]&gt;Tableau3453[[#This Row],[Conditions
pmt+]]+5,"oui",""),"")</f>
        <v/>
      </c>
      <c r="D343" s="238" t="s">
        <v>909</v>
      </c>
      <c r="E343" s="240">
        <v>45434</v>
      </c>
      <c r="F343" s="241">
        <v>85.75</v>
      </c>
      <c r="G343" s="242" t="str">
        <f>IF(Tableau3453[[#This Row],[Date 
du paiement]]="",Tableau3453[[#This Row],[Montant
de la facture
CHF]],"")</f>
        <v/>
      </c>
      <c r="H343" s="243"/>
      <c r="I343" s="245">
        <v>45436</v>
      </c>
      <c r="J343" s="246">
        <v>45481</v>
      </c>
      <c r="K343" s="247" t="s">
        <v>58</v>
      </c>
      <c r="L343" s="248">
        <v>1</v>
      </c>
      <c r="M343" s="248">
        <f>IF(Tableau3453[[#This Row],[Date 
du paiement]]="",$D$4-Tableau3453[[#This Row],[Date
de la facture]],Tableau3453[[#This Row],[Date 
du paiement]]-Tableau3453[[#This Row],[Date
de la facture]])</f>
        <v>47</v>
      </c>
      <c r="N343" s="241" t="str">
        <f>IF(Tableau3453[[#This Row],[Date 
du paiement]]="",IF(Tableau3453[[#This Row],[Jours]]&lt;30,Tableau3453[[#This Row],[Montant
de la facture
CHF]],""),"")</f>
        <v/>
      </c>
      <c r="O343" s="241" t="str">
        <f>IF(Tableau3453[[#This Row],[Date 
du paiement]]="",IF(Tableau3453[[#This Row],[Jours]]&gt;30,IF(Tableau3453[[#This Row],[Jours]]&lt;60,Tableau3453[[#This Row],[Montant
de la facture
CHF]],""),""),"")</f>
        <v/>
      </c>
      <c r="P343" s="241" t="str">
        <f>IF(Tableau3453[[#This Row],[Date 
du paiement]]="",IF(Tableau3453[[#This Row],[Jours]]&gt;60,Tableau3453[[#This Row],[Montant
de la facture
CHF]],""),"")</f>
        <v/>
      </c>
      <c r="Q343" s="249"/>
      <c r="R343" s="250" t="str">
        <f>Tableau3453[[#This Row],[Solde 
ouverte
fm]]</f>
        <v/>
      </c>
      <c r="S3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4" spans="1:19" hidden="1" outlineLevel="1" x14ac:dyDescent="0.25">
      <c r="A344" s="238">
        <v>240499</v>
      </c>
      <c r="B344" s="239" t="s">
        <v>860</v>
      </c>
      <c r="C344" s="352" t="str">
        <f>IF(Tableau3453[[#This Row],[Date 
du paiement]]="",IF(Tableau3453[[#This Row],[Jours]]&gt;Tableau3453[[#This Row],[Conditions
pmt+]]+5,"oui",""),"")</f>
        <v/>
      </c>
      <c r="D344" s="238" t="s">
        <v>880</v>
      </c>
      <c r="E344" s="240">
        <v>45434</v>
      </c>
      <c r="F344" s="241">
        <v>3236.05</v>
      </c>
      <c r="G344" s="242" t="str">
        <f>IF(Tableau3453[[#This Row],[Date 
du paiement]]="",Tableau3453[[#This Row],[Montant
de la facture
CHF]],"")</f>
        <v/>
      </c>
      <c r="H344" s="243"/>
      <c r="I344" s="245">
        <v>45436</v>
      </c>
      <c r="J344" s="246">
        <v>45461</v>
      </c>
      <c r="K344" s="247" t="s">
        <v>58</v>
      </c>
      <c r="L344" s="248"/>
      <c r="M344" s="248">
        <f>IF(Tableau3453[[#This Row],[Date 
du paiement]]="",$D$4-Tableau3453[[#This Row],[Date
de la facture]],Tableau3453[[#This Row],[Date 
du paiement]]-Tableau3453[[#This Row],[Date
de la facture]])</f>
        <v>27</v>
      </c>
      <c r="N344" s="241" t="str">
        <f>IF(Tableau3453[[#This Row],[Date 
du paiement]]="",IF(Tableau3453[[#This Row],[Jours]]&lt;30,Tableau3453[[#This Row],[Montant
de la facture
CHF]],""),"")</f>
        <v/>
      </c>
      <c r="O344" s="241" t="str">
        <f>IF(Tableau3453[[#This Row],[Date 
du paiement]]="",IF(Tableau3453[[#This Row],[Jours]]&gt;30,IF(Tableau3453[[#This Row],[Jours]]&lt;60,Tableau3453[[#This Row],[Montant
de la facture
CHF]],""),""),"")</f>
        <v/>
      </c>
      <c r="P344" s="241" t="str">
        <f>IF(Tableau3453[[#This Row],[Date 
du paiement]]="",IF(Tableau3453[[#This Row],[Jours]]&gt;60,Tableau3453[[#This Row],[Montant
de la facture
CHF]],""),"")</f>
        <v/>
      </c>
      <c r="Q344" s="249"/>
      <c r="R344" s="250" t="str">
        <f>Tableau3453[[#This Row],[Solde 
ouverte
fm]]</f>
        <v/>
      </c>
      <c r="S34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5" spans="1:19" hidden="1" outlineLevel="1" x14ac:dyDescent="0.25">
      <c r="A345" s="238">
        <v>240276</v>
      </c>
      <c r="B345" s="239" t="s">
        <v>860</v>
      </c>
      <c r="C345" s="352" t="str">
        <f>IF(Tableau3453[[#This Row],[Date 
du paiement]]="",IF(Tableau3453[[#This Row],[Jours]]&gt;Tableau3453[[#This Row],[Conditions
pmt+]]+5,"oui",""),"")</f>
        <v/>
      </c>
      <c r="D345" s="238" t="s">
        <v>902</v>
      </c>
      <c r="E345" s="240">
        <v>45434</v>
      </c>
      <c r="F345" s="241">
        <v>258.39999999999998</v>
      </c>
      <c r="G345" s="242" t="str">
        <f>IF(Tableau3453[[#This Row],[Date 
du paiement]]="",Tableau3453[[#This Row],[Montant
de la facture
CHF]],"")</f>
        <v/>
      </c>
      <c r="H345" s="243"/>
      <c r="I345" s="245">
        <v>45435</v>
      </c>
      <c r="J345" s="246">
        <v>45450</v>
      </c>
      <c r="K345" s="247" t="s">
        <v>58</v>
      </c>
      <c r="L345" s="248"/>
      <c r="M345" s="248">
        <f>IF(Tableau3453[[#This Row],[Date 
du paiement]]="",$D$4-Tableau3453[[#This Row],[Date
de la facture]],Tableau3453[[#This Row],[Date 
du paiement]]-Tableau3453[[#This Row],[Date
de la facture]])</f>
        <v>16</v>
      </c>
      <c r="N345" s="241" t="str">
        <f>IF(Tableau3453[[#This Row],[Date 
du paiement]]="",IF(Tableau3453[[#This Row],[Jours]]&lt;30,Tableau3453[[#This Row],[Montant
de la facture
CHF]],""),"")</f>
        <v/>
      </c>
      <c r="O345" s="241" t="str">
        <f>IF(Tableau3453[[#This Row],[Date 
du paiement]]="",IF(Tableau3453[[#This Row],[Jours]]&gt;30,IF(Tableau3453[[#This Row],[Jours]]&lt;60,Tableau3453[[#This Row],[Montant
de la facture
CHF]],""),""),"")</f>
        <v/>
      </c>
      <c r="P345" s="241" t="str">
        <f>IF(Tableau3453[[#This Row],[Date 
du paiement]]="",IF(Tableau3453[[#This Row],[Jours]]&gt;60,Tableau3453[[#This Row],[Montant
de la facture
CHF]],""),"")</f>
        <v/>
      </c>
      <c r="Q345" s="249"/>
      <c r="R345" s="250" t="str">
        <f>Tableau3453[[#This Row],[Solde 
ouverte
fm]]</f>
        <v/>
      </c>
      <c r="S34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6" spans="1:19" hidden="1" outlineLevel="1" x14ac:dyDescent="0.25">
      <c r="A346" s="238">
        <v>240403</v>
      </c>
      <c r="B346" s="239" t="s">
        <v>860</v>
      </c>
      <c r="C346" s="352" t="str">
        <f>IF(Tableau3453[[#This Row],[Date 
du paiement]]="",IF(Tableau3453[[#This Row],[Jours]]&gt;Tableau3453[[#This Row],[Conditions
pmt+]]+5,"oui",""),"")</f>
        <v/>
      </c>
      <c r="D346" s="238" t="s">
        <v>985</v>
      </c>
      <c r="E346" s="240">
        <v>45435</v>
      </c>
      <c r="F346" s="241">
        <v>55.1</v>
      </c>
      <c r="G346" s="242" t="str">
        <f>IF(Tableau3453[[#This Row],[Date 
du paiement]]="",Tableau3453[[#This Row],[Montant
de la facture
CHF]],"")</f>
        <v/>
      </c>
      <c r="H346" s="243" t="s">
        <v>1039</v>
      </c>
      <c r="I346" s="245">
        <v>45436</v>
      </c>
      <c r="J346" s="246">
        <v>45463</v>
      </c>
      <c r="K346" s="247" t="s">
        <v>58</v>
      </c>
      <c r="L346" s="248"/>
      <c r="M346" s="248">
        <f>IF(Tableau3453[[#This Row],[Date 
du paiement]]="",$D$4-Tableau3453[[#This Row],[Date
de la facture]],Tableau3453[[#This Row],[Date 
du paiement]]-Tableau3453[[#This Row],[Date
de la facture]])</f>
        <v>28</v>
      </c>
      <c r="N346" s="241" t="str">
        <f>IF(Tableau3453[[#This Row],[Date 
du paiement]]="",IF(Tableau3453[[#This Row],[Jours]]&lt;30,Tableau3453[[#This Row],[Montant
de la facture
CHF]],""),"")</f>
        <v/>
      </c>
      <c r="O346" s="241" t="str">
        <f>IF(Tableau3453[[#This Row],[Date 
du paiement]]="",IF(Tableau3453[[#This Row],[Jours]]&gt;30,IF(Tableau3453[[#This Row],[Jours]]&lt;60,Tableau3453[[#This Row],[Montant
de la facture
CHF]],""),""),"")</f>
        <v/>
      </c>
      <c r="P346" s="241" t="str">
        <f>IF(Tableau3453[[#This Row],[Date 
du paiement]]="",IF(Tableau3453[[#This Row],[Jours]]&gt;60,Tableau3453[[#This Row],[Montant
de la facture
CHF]],""),"")</f>
        <v/>
      </c>
      <c r="Q346" s="249"/>
      <c r="R346" s="250" t="str">
        <f>Tableau3453[[#This Row],[Solde 
ouverte
fm]]</f>
        <v/>
      </c>
      <c r="S34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7" spans="1:19" hidden="1" outlineLevel="1" x14ac:dyDescent="0.25">
      <c r="A347" s="238">
        <v>240501</v>
      </c>
      <c r="B347" s="239" t="s">
        <v>860</v>
      </c>
      <c r="C347" s="352" t="str">
        <f>IF(Tableau3453[[#This Row],[Date 
du paiement]]="",IF(Tableau3453[[#This Row],[Jours]]&gt;Tableau3453[[#This Row],[Conditions
pmt+]]+5,"oui",""),"")</f>
        <v/>
      </c>
      <c r="D347" s="238" t="s">
        <v>929</v>
      </c>
      <c r="E347" s="240">
        <v>45435</v>
      </c>
      <c r="F347" s="241">
        <v>6059.15</v>
      </c>
      <c r="G347" s="242" t="str">
        <f>IF(Tableau3453[[#This Row],[Date 
du paiement]]="",Tableau3453[[#This Row],[Montant
de la facture
CHF]],"")</f>
        <v/>
      </c>
      <c r="H347" s="243"/>
      <c r="I347" s="245">
        <v>45436</v>
      </c>
      <c r="J347" s="246">
        <v>45456</v>
      </c>
      <c r="K347" s="247" t="s">
        <v>58</v>
      </c>
      <c r="L347" s="248"/>
      <c r="M347" s="248">
        <f>IF(Tableau3453[[#This Row],[Date 
du paiement]]="",$D$4-Tableau3453[[#This Row],[Date
de la facture]],Tableau3453[[#This Row],[Date 
du paiement]]-Tableau3453[[#This Row],[Date
de la facture]])</f>
        <v>21</v>
      </c>
      <c r="N347" s="241" t="str">
        <f>IF(Tableau3453[[#This Row],[Date 
du paiement]]="",IF(Tableau3453[[#This Row],[Jours]]&lt;30,Tableau3453[[#This Row],[Montant
de la facture
CHF]],""),"")</f>
        <v/>
      </c>
      <c r="O347" s="241" t="str">
        <f>IF(Tableau3453[[#This Row],[Date 
du paiement]]="",IF(Tableau3453[[#This Row],[Jours]]&gt;30,IF(Tableau3453[[#This Row],[Jours]]&lt;60,Tableau3453[[#This Row],[Montant
de la facture
CHF]],""),""),"")</f>
        <v/>
      </c>
      <c r="P347" s="241" t="str">
        <f>IF(Tableau3453[[#This Row],[Date 
du paiement]]="",IF(Tableau3453[[#This Row],[Jours]]&gt;60,Tableau3453[[#This Row],[Montant
de la facture
CHF]],""),"")</f>
        <v/>
      </c>
      <c r="Q347" s="249"/>
      <c r="R347" s="250" t="str">
        <f>Tableau3453[[#This Row],[Solde 
ouverte
fm]]</f>
        <v/>
      </c>
      <c r="S34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8" spans="1:19" hidden="1" outlineLevel="1" x14ac:dyDescent="0.25">
      <c r="A348" s="238">
        <v>240519</v>
      </c>
      <c r="B348" s="239" t="s">
        <v>860</v>
      </c>
      <c r="C348" s="352" t="str">
        <f>IF(Tableau3453[[#This Row],[Date 
du paiement]]="",IF(Tableau3453[[#This Row],[Jours]]&gt;Tableau3453[[#This Row],[Conditions
pmt+]]+5,"oui",""),"")</f>
        <v/>
      </c>
      <c r="D348" s="238" t="s">
        <v>1021</v>
      </c>
      <c r="E348" s="240">
        <v>45435</v>
      </c>
      <c r="F348" s="241">
        <v>2999.8</v>
      </c>
      <c r="G348" s="242" t="str">
        <f>IF(Tableau3453[[#This Row],[Date 
du paiement]]="",Tableau3453[[#This Row],[Montant
de la facture
CHF]],"")</f>
        <v/>
      </c>
      <c r="H348" s="243"/>
      <c r="I348" s="245">
        <v>45435</v>
      </c>
      <c r="J348" s="246">
        <v>45443</v>
      </c>
      <c r="K348" s="247" t="s">
        <v>58</v>
      </c>
      <c r="L348" s="248"/>
      <c r="M348" s="248">
        <f>IF(Tableau3453[[#This Row],[Date 
du paiement]]="",$D$4-Tableau3453[[#This Row],[Date
de la facture]],Tableau3453[[#This Row],[Date 
du paiement]]-Tableau3453[[#This Row],[Date
de la facture]])</f>
        <v>8</v>
      </c>
      <c r="N348" s="241" t="str">
        <f>IF(Tableau3453[[#This Row],[Date 
du paiement]]="",IF(Tableau3453[[#This Row],[Jours]]&lt;30,Tableau3453[[#This Row],[Montant
de la facture
CHF]],""),"")</f>
        <v/>
      </c>
      <c r="O348" s="241" t="str">
        <f>IF(Tableau3453[[#This Row],[Date 
du paiement]]="",IF(Tableau3453[[#This Row],[Jours]]&gt;30,IF(Tableau3453[[#This Row],[Jours]]&lt;60,Tableau3453[[#This Row],[Montant
de la facture
CHF]],""),""),"")</f>
        <v/>
      </c>
      <c r="P348" s="241" t="str">
        <f>IF(Tableau3453[[#This Row],[Date 
du paiement]]="",IF(Tableau3453[[#This Row],[Jours]]&gt;60,Tableau3453[[#This Row],[Montant
de la facture
CHF]],""),"")</f>
        <v/>
      </c>
      <c r="Q348" s="249"/>
      <c r="R348" s="250" t="str">
        <f>Tableau3453[[#This Row],[Solde 
ouverte
fm]]</f>
        <v/>
      </c>
      <c r="S34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49" spans="1:19" hidden="1" outlineLevel="1" x14ac:dyDescent="0.25">
      <c r="A349" s="238">
        <v>240480</v>
      </c>
      <c r="B349" s="239" t="s">
        <v>860</v>
      </c>
      <c r="C349" s="352" t="str">
        <f>IF(Tableau3453[[#This Row],[Date 
du paiement]]="",IF(Tableau3453[[#This Row],[Jours]]&gt;Tableau3453[[#This Row],[Conditions
pmt+]]+5,"oui",""),"")</f>
        <v/>
      </c>
      <c r="D349" s="251" t="s">
        <v>885</v>
      </c>
      <c r="E349" s="240">
        <v>45435</v>
      </c>
      <c r="F349" s="241">
        <v>1142.8</v>
      </c>
      <c r="G349" s="242" t="str">
        <f>IF(Tableau3453[[#This Row],[Date 
du paiement]]="",Tableau3453[[#This Row],[Montant
de la facture
CHF]],"")</f>
        <v/>
      </c>
      <c r="H349" s="243"/>
      <c r="I349" s="245">
        <v>45436</v>
      </c>
      <c r="J349" s="246">
        <v>45441</v>
      </c>
      <c r="K349" s="247" t="s">
        <v>58</v>
      </c>
      <c r="L349" s="248"/>
      <c r="M349" s="248">
        <f>IF(Tableau3453[[#This Row],[Date 
du paiement]]="",$D$4-Tableau3453[[#This Row],[Date
de la facture]],Tableau3453[[#This Row],[Date 
du paiement]]-Tableau3453[[#This Row],[Date
de la facture]])</f>
        <v>6</v>
      </c>
      <c r="N349" s="241" t="str">
        <f>IF(Tableau3453[[#This Row],[Date 
du paiement]]="",IF(Tableau3453[[#This Row],[Jours]]&lt;30,Tableau3453[[#This Row],[Montant
de la facture
CHF]],""),"")</f>
        <v/>
      </c>
      <c r="O349" s="241" t="str">
        <f>IF(Tableau3453[[#This Row],[Date 
du paiement]]="",IF(Tableau3453[[#This Row],[Jours]]&gt;30,IF(Tableau3453[[#This Row],[Jours]]&lt;60,Tableau3453[[#This Row],[Montant
de la facture
CHF]],""),""),"")</f>
        <v/>
      </c>
      <c r="P349" s="241" t="str">
        <f>IF(Tableau3453[[#This Row],[Date 
du paiement]]="",IF(Tableau3453[[#This Row],[Jours]]&gt;60,Tableau3453[[#This Row],[Montant
de la facture
CHF]],""),"")</f>
        <v/>
      </c>
      <c r="Q349" s="249"/>
      <c r="R349" s="250" t="str">
        <f>Tableau3453[[#This Row],[Solde 
ouverte
fm]]</f>
        <v/>
      </c>
      <c r="S3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0" spans="1:19" hidden="1" outlineLevel="1" x14ac:dyDescent="0.25">
      <c r="A350" s="238">
        <v>240607</v>
      </c>
      <c r="B350" s="239" t="s">
        <v>860</v>
      </c>
      <c r="C350" s="352" t="str">
        <f>IF(Tableau3453[[#This Row],[Date 
du paiement]]="",IF(Tableau3453[[#This Row],[Jours]]&gt;Tableau3453[[#This Row],[Conditions
pmt+]]+5,"oui",""),"")</f>
        <v/>
      </c>
      <c r="D350" s="251" t="s">
        <v>864</v>
      </c>
      <c r="E350" s="240">
        <v>45464</v>
      </c>
      <c r="F350" s="241">
        <v>1103.0999999999999</v>
      </c>
      <c r="G350" s="242" t="str">
        <f>IF(Tableau3453[[#This Row],[Date 
du paiement]]="",Tableau3453[[#This Row],[Montant
de la facture
CHF]],"")</f>
        <v/>
      </c>
      <c r="H350" s="243"/>
      <c r="I350" s="245">
        <v>45467</v>
      </c>
      <c r="J350" s="246">
        <v>45504</v>
      </c>
      <c r="K350" s="247" t="s">
        <v>58</v>
      </c>
      <c r="L350" s="248"/>
      <c r="M350" s="248">
        <f>IF(Tableau3453[[#This Row],[Date 
du paiement]]="",$D$4-Tableau3453[[#This Row],[Date
de la facture]],Tableau3453[[#This Row],[Date 
du paiement]]-Tableau3453[[#This Row],[Date
de la facture]])</f>
        <v>40</v>
      </c>
      <c r="N350" s="241" t="str">
        <f>IF(Tableau3453[[#This Row],[Date 
du paiement]]="",IF(Tableau3453[[#This Row],[Jours]]&lt;30,Tableau3453[[#This Row],[Montant
de la facture
CHF]],""),"")</f>
        <v/>
      </c>
      <c r="O350" s="241" t="str">
        <f>IF(Tableau3453[[#This Row],[Date 
du paiement]]="",IF(Tableau3453[[#This Row],[Jours]]&gt;30,IF(Tableau3453[[#This Row],[Jours]]&lt;60,Tableau3453[[#This Row],[Montant
de la facture
CHF]],""),""),"")</f>
        <v/>
      </c>
      <c r="P350" s="241" t="str">
        <f>IF(Tableau3453[[#This Row],[Date 
du paiement]]="",IF(Tableau3453[[#This Row],[Jours]]&gt;60,Tableau3453[[#This Row],[Montant
de la facture
CHF]],""),"")</f>
        <v/>
      </c>
      <c r="Q350" s="249"/>
      <c r="R350" s="250" t="str">
        <f>Tableau3453[[#This Row],[Solde 
ouverte
fm]]</f>
        <v/>
      </c>
      <c r="S35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1" spans="1:19" hidden="1" outlineLevel="1" x14ac:dyDescent="0.25">
      <c r="A351" s="238">
        <v>240433</v>
      </c>
      <c r="B351" s="239" t="s">
        <v>860</v>
      </c>
      <c r="C351" s="352" t="str">
        <f>IF(Tableau3453[[#This Row],[Date 
du paiement]]="",IF(Tableau3453[[#This Row],[Jours]]&gt;Tableau3453[[#This Row],[Conditions
pmt+]]+5,"oui",""),"")</f>
        <v/>
      </c>
      <c r="D351" s="238" t="s">
        <v>927</v>
      </c>
      <c r="E351" s="240">
        <v>45436</v>
      </c>
      <c r="F351" s="241">
        <v>679.7</v>
      </c>
      <c r="G351" s="242" t="str">
        <f>IF(Tableau3453[[#This Row],[Date 
du paiement]]="",Tableau3453[[#This Row],[Montant
de la facture
CHF]],"")</f>
        <v/>
      </c>
      <c r="H351" s="243"/>
      <c r="I351" s="245">
        <v>45436</v>
      </c>
      <c r="J351" s="246">
        <v>45475</v>
      </c>
      <c r="K351" s="247" t="s">
        <v>58</v>
      </c>
      <c r="L351" s="248"/>
      <c r="M351" s="248">
        <f>IF(Tableau3453[[#This Row],[Date 
du paiement]]="",$D$4-Tableau3453[[#This Row],[Date
de la facture]],Tableau3453[[#This Row],[Date 
du paiement]]-Tableau3453[[#This Row],[Date
de la facture]])</f>
        <v>39</v>
      </c>
      <c r="N351" s="241" t="str">
        <f>IF(Tableau3453[[#This Row],[Date 
du paiement]]="",IF(Tableau3453[[#This Row],[Jours]]&lt;30,Tableau3453[[#This Row],[Montant
de la facture
CHF]],""),"")</f>
        <v/>
      </c>
      <c r="O351" s="241" t="str">
        <f>IF(Tableau3453[[#This Row],[Date 
du paiement]]="",IF(Tableau3453[[#This Row],[Jours]]&gt;30,IF(Tableau3453[[#This Row],[Jours]]&lt;60,Tableau3453[[#This Row],[Montant
de la facture
CHF]],""),""),"")</f>
        <v/>
      </c>
      <c r="P351" s="241" t="str">
        <f>IF(Tableau3453[[#This Row],[Date 
du paiement]]="",IF(Tableau3453[[#This Row],[Jours]]&gt;60,Tableau3453[[#This Row],[Montant
de la facture
CHF]],""),"")</f>
        <v/>
      </c>
      <c r="Q351" s="249"/>
      <c r="R351" s="250" t="str">
        <f>Tableau3453[[#This Row],[Solde 
ouverte
fm]]</f>
        <v/>
      </c>
      <c r="S3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2" spans="1:19" hidden="1" outlineLevel="1" x14ac:dyDescent="0.25">
      <c r="A352" s="238">
        <v>240356</v>
      </c>
      <c r="B352" s="239" t="s">
        <v>860</v>
      </c>
      <c r="C352" s="352" t="str">
        <f>IF(Tableau3453[[#This Row],[Date 
du paiement]]="",IF(Tableau3453[[#This Row],[Jours]]&gt;Tableau3453[[#This Row],[Conditions
pmt+]]+5,"oui",""),"")</f>
        <v/>
      </c>
      <c r="D352" s="238" t="s">
        <v>887</v>
      </c>
      <c r="E352" s="240">
        <v>45436</v>
      </c>
      <c r="F352" s="241">
        <v>4534.3500000000004</v>
      </c>
      <c r="G352" s="242" t="str">
        <f>IF(Tableau3453[[#This Row],[Date 
du paiement]]="",Tableau3453[[#This Row],[Montant
de la facture
CHF]],"")</f>
        <v/>
      </c>
      <c r="H352" s="243"/>
      <c r="I352" s="245">
        <v>45440</v>
      </c>
      <c r="J352" s="246">
        <v>45481</v>
      </c>
      <c r="K352" s="247" t="s">
        <v>58</v>
      </c>
      <c r="L352" s="248">
        <v>1</v>
      </c>
      <c r="M352" s="248">
        <f>IF(Tableau3453[[#This Row],[Date 
du paiement]]="",$D$4-Tableau3453[[#This Row],[Date
de la facture]],Tableau3453[[#This Row],[Date 
du paiement]]-Tableau3453[[#This Row],[Date
de la facture]])</f>
        <v>45</v>
      </c>
      <c r="N352" s="241" t="str">
        <f>IF(Tableau3453[[#This Row],[Date 
du paiement]]="",IF(Tableau3453[[#This Row],[Jours]]&lt;30,Tableau3453[[#This Row],[Montant
de la facture
CHF]],""),"")</f>
        <v/>
      </c>
      <c r="O352" s="241" t="str">
        <f>IF(Tableau3453[[#This Row],[Date 
du paiement]]="",IF(Tableau3453[[#This Row],[Jours]]&gt;30,IF(Tableau3453[[#This Row],[Jours]]&lt;60,Tableau3453[[#This Row],[Montant
de la facture
CHF]],""),""),"")</f>
        <v/>
      </c>
      <c r="P352" s="241" t="str">
        <f>IF(Tableau3453[[#This Row],[Date 
du paiement]]="",IF(Tableau3453[[#This Row],[Jours]]&gt;60,Tableau3453[[#This Row],[Montant
de la facture
CHF]],""),"")</f>
        <v/>
      </c>
      <c r="Q352" s="249"/>
      <c r="R352" s="250" t="str">
        <f>Tableau3453[[#This Row],[Solde 
ouverte
fm]]</f>
        <v/>
      </c>
      <c r="S35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3" spans="1:19" hidden="1" outlineLevel="1" x14ac:dyDescent="0.25">
      <c r="A353" s="238">
        <v>240308</v>
      </c>
      <c r="B353" s="239" t="s">
        <v>860</v>
      </c>
      <c r="C353" s="352" t="str">
        <f>IF(Tableau3453[[#This Row],[Date 
du paiement]]="",IF(Tableau3453[[#This Row],[Jours]]&gt;Tableau3453[[#This Row],[Conditions
pmt+]]+5,"oui",""),"")</f>
        <v/>
      </c>
      <c r="D353" s="238" t="s">
        <v>1046</v>
      </c>
      <c r="E353" s="240">
        <v>45436</v>
      </c>
      <c r="F353" s="241">
        <v>3398.65</v>
      </c>
      <c r="G353" s="242" t="str">
        <f>IF(Tableau3453[[#This Row],[Date 
du paiement]]="",Tableau3453[[#This Row],[Montant
de la facture
CHF]],"")</f>
        <v/>
      </c>
      <c r="H353" s="243" t="s">
        <v>1047</v>
      </c>
      <c r="I353" s="245">
        <v>45439</v>
      </c>
      <c r="J353" s="246">
        <v>45471</v>
      </c>
      <c r="K353" s="247" t="s">
        <v>58</v>
      </c>
      <c r="L353" s="248"/>
      <c r="M353" s="248">
        <f>IF(Tableau3453[[#This Row],[Date 
du paiement]]="",$D$4-Tableau3453[[#This Row],[Date
de la facture]],Tableau3453[[#This Row],[Date 
du paiement]]-Tableau3453[[#This Row],[Date
de la facture]])</f>
        <v>35</v>
      </c>
      <c r="N353" s="241" t="str">
        <f>IF(Tableau3453[[#This Row],[Date 
du paiement]]="",IF(Tableau3453[[#This Row],[Jours]]&lt;30,Tableau3453[[#This Row],[Montant
de la facture
CHF]],""),"")</f>
        <v/>
      </c>
      <c r="O353" s="241" t="str">
        <f>IF(Tableau3453[[#This Row],[Date 
du paiement]]="",IF(Tableau3453[[#This Row],[Jours]]&gt;30,IF(Tableau3453[[#This Row],[Jours]]&lt;60,Tableau3453[[#This Row],[Montant
de la facture
CHF]],""),""),"")</f>
        <v/>
      </c>
      <c r="P353" s="241" t="str">
        <f>IF(Tableau3453[[#This Row],[Date 
du paiement]]="",IF(Tableau3453[[#This Row],[Jours]]&gt;60,Tableau3453[[#This Row],[Montant
de la facture
CHF]],""),"")</f>
        <v/>
      </c>
      <c r="Q353" s="249"/>
      <c r="R353" s="250" t="str">
        <f>Tableau3453[[#This Row],[Solde 
ouverte
fm]]</f>
        <v/>
      </c>
      <c r="S35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4" spans="1:19" hidden="1" outlineLevel="1" x14ac:dyDescent="0.25">
      <c r="A354" s="238">
        <v>240290</v>
      </c>
      <c r="B354" s="239" t="s">
        <v>860</v>
      </c>
      <c r="C354" s="352" t="str">
        <f>IF(Tableau3453[[#This Row],[Date 
du paiement]]="",IF(Tableau3453[[#This Row],[Jours]]&gt;Tableau3453[[#This Row],[Conditions
pmt+]]+5,"oui",""),"")</f>
        <v/>
      </c>
      <c r="D354" s="238" t="s">
        <v>1041</v>
      </c>
      <c r="E354" s="240">
        <v>45436</v>
      </c>
      <c r="F354" s="241">
        <v>66.900000000000006</v>
      </c>
      <c r="G354" s="242" t="str">
        <f>IF(Tableau3453[[#This Row],[Date 
du paiement]]="",Tableau3453[[#This Row],[Montant
de la facture
CHF]],"")</f>
        <v/>
      </c>
      <c r="H354" s="243"/>
      <c r="I354" s="245">
        <v>45439</v>
      </c>
      <c r="J354" s="246">
        <v>45469</v>
      </c>
      <c r="K354" s="247" t="s">
        <v>58</v>
      </c>
      <c r="L354" s="248"/>
      <c r="M354" s="248">
        <f>IF(Tableau3453[[#This Row],[Date 
du paiement]]="",$D$4-Tableau3453[[#This Row],[Date
de la facture]],Tableau3453[[#This Row],[Date 
du paiement]]-Tableau3453[[#This Row],[Date
de la facture]])</f>
        <v>33</v>
      </c>
      <c r="N354" s="241" t="str">
        <f>IF(Tableau3453[[#This Row],[Date 
du paiement]]="",IF(Tableau3453[[#This Row],[Jours]]&lt;30,Tableau3453[[#This Row],[Montant
de la facture
CHF]],""),"")</f>
        <v/>
      </c>
      <c r="O354" s="241" t="str">
        <f>IF(Tableau3453[[#This Row],[Date 
du paiement]]="",IF(Tableau3453[[#This Row],[Jours]]&gt;30,IF(Tableau3453[[#This Row],[Jours]]&lt;60,Tableau3453[[#This Row],[Montant
de la facture
CHF]],""),""),"")</f>
        <v/>
      </c>
      <c r="P354" s="241" t="str">
        <f>IF(Tableau3453[[#This Row],[Date 
du paiement]]="",IF(Tableau3453[[#This Row],[Jours]]&gt;60,Tableau3453[[#This Row],[Montant
de la facture
CHF]],""),"")</f>
        <v/>
      </c>
      <c r="Q354" s="249"/>
      <c r="R354" s="250" t="str">
        <f>Tableau3453[[#This Row],[Solde 
ouverte
fm]]</f>
        <v/>
      </c>
      <c r="S3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5" spans="1:19" hidden="1" outlineLevel="1" x14ac:dyDescent="0.25">
      <c r="A355" s="238">
        <v>240512</v>
      </c>
      <c r="B355" s="239" t="s">
        <v>860</v>
      </c>
      <c r="C355" s="352" t="str">
        <f>IF(Tableau3453[[#This Row],[Date 
du paiement]]="",IF(Tableau3453[[#This Row],[Jours]]&gt;Tableau3453[[#This Row],[Conditions
pmt+]]+5,"oui",""),"")</f>
        <v/>
      </c>
      <c r="D355" s="238" t="s">
        <v>880</v>
      </c>
      <c r="E355" s="240">
        <v>45436</v>
      </c>
      <c r="F355" s="241">
        <v>1942.85</v>
      </c>
      <c r="G355" s="242" t="str">
        <f>IF(Tableau3453[[#This Row],[Date 
du paiement]]="",Tableau3453[[#This Row],[Montant
de la facture
CHF]],"")</f>
        <v/>
      </c>
      <c r="H355" s="243"/>
      <c r="I355" s="245">
        <v>45439</v>
      </c>
      <c r="J355" s="246">
        <v>45461</v>
      </c>
      <c r="K355" s="247" t="s">
        <v>58</v>
      </c>
      <c r="L355" s="248"/>
      <c r="M355" s="248">
        <f>IF(Tableau3453[[#This Row],[Date 
du paiement]]="",$D$4-Tableau3453[[#This Row],[Date
de la facture]],Tableau3453[[#This Row],[Date 
du paiement]]-Tableau3453[[#This Row],[Date
de la facture]])</f>
        <v>25</v>
      </c>
      <c r="N355" s="241" t="str">
        <f>IF(Tableau3453[[#This Row],[Date 
du paiement]]="",IF(Tableau3453[[#This Row],[Jours]]&lt;30,Tableau3453[[#This Row],[Montant
de la facture
CHF]],""),"")</f>
        <v/>
      </c>
      <c r="O355" s="241" t="str">
        <f>IF(Tableau3453[[#This Row],[Date 
du paiement]]="",IF(Tableau3453[[#This Row],[Jours]]&gt;30,IF(Tableau3453[[#This Row],[Jours]]&lt;60,Tableau3453[[#This Row],[Montant
de la facture
CHF]],""),""),"")</f>
        <v/>
      </c>
      <c r="P355" s="241" t="str">
        <f>IF(Tableau3453[[#This Row],[Date 
du paiement]]="",IF(Tableau3453[[#This Row],[Jours]]&gt;60,Tableau3453[[#This Row],[Montant
de la facture
CHF]],""),"")</f>
        <v/>
      </c>
      <c r="Q355" s="249"/>
      <c r="R355" s="250" t="str">
        <f>Tableau3453[[#This Row],[Solde 
ouverte
fm]]</f>
        <v/>
      </c>
      <c r="S3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6" spans="1:19" hidden="1" outlineLevel="1" x14ac:dyDescent="0.25">
      <c r="A356" s="238">
        <v>240475</v>
      </c>
      <c r="B356" s="239" t="s">
        <v>860</v>
      </c>
      <c r="C356" s="352" t="str">
        <f>IF(Tableau3453[[#This Row],[Date 
du paiement]]="",IF(Tableau3453[[#This Row],[Jours]]&gt;Tableau3453[[#This Row],[Conditions
pmt+]]+5,"oui",""),"")</f>
        <v/>
      </c>
      <c r="D356" s="238" t="s">
        <v>898</v>
      </c>
      <c r="E356" s="240">
        <v>45436</v>
      </c>
      <c r="F356" s="241">
        <v>35.1</v>
      </c>
      <c r="G356" s="242" t="str">
        <f>IF(Tableau3453[[#This Row],[Date 
du paiement]]="",Tableau3453[[#This Row],[Montant
de la facture
CHF]],"")</f>
        <v/>
      </c>
      <c r="H356" s="243"/>
      <c r="I356" s="245">
        <v>45439</v>
      </c>
      <c r="J356" s="246">
        <v>45460</v>
      </c>
      <c r="K356" s="247" t="s">
        <v>58</v>
      </c>
      <c r="L356" s="248"/>
      <c r="M356" s="248">
        <f>IF(Tableau3453[[#This Row],[Date 
du paiement]]="",$D$4-Tableau3453[[#This Row],[Date
de la facture]],Tableau3453[[#This Row],[Date 
du paiement]]-Tableau3453[[#This Row],[Date
de la facture]])</f>
        <v>24</v>
      </c>
      <c r="N356" s="241" t="str">
        <f>IF(Tableau3453[[#This Row],[Date 
du paiement]]="",IF(Tableau3453[[#This Row],[Jours]]&lt;30,Tableau3453[[#This Row],[Montant
de la facture
CHF]],""),"")</f>
        <v/>
      </c>
      <c r="O356" s="241" t="str">
        <f>IF(Tableau3453[[#This Row],[Date 
du paiement]]="",IF(Tableau3453[[#This Row],[Jours]]&gt;30,IF(Tableau3453[[#This Row],[Jours]]&lt;60,Tableau3453[[#This Row],[Montant
de la facture
CHF]],""),""),"")</f>
        <v/>
      </c>
      <c r="P356" s="241" t="str">
        <f>IF(Tableau3453[[#This Row],[Date 
du paiement]]="",IF(Tableau3453[[#This Row],[Jours]]&gt;60,Tableau3453[[#This Row],[Montant
de la facture
CHF]],""),"")</f>
        <v/>
      </c>
      <c r="Q356" s="249"/>
      <c r="R356" s="250" t="str">
        <f>Tableau3453[[#This Row],[Solde 
ouverte
fm]]</f>
        <v/>
      </c>
      <c r="S35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7" spans="1:19" hidden="1" outlineLevel="1" x14ac:dyDescent="0.25">
      <c r="A357" s="238">
        <v>240178</v>
      </c>
      <c r="B357" s="239" t="s">
        <v>860</v>
      </c>
      <c r="C357" s="352" t="str">
        <f>IF(Tableau3453[[#This Row],[Date 
du paiement]]="",IF(Tableau3453[[#This Row],[Jours]]&gt;Tableau3453[[#This Row],[Conditions
pmt+]]+5,"oui",""),"")</f>
        <v/>
      </c>
      <c r="D357" s="251" t="s">
        <v>1022</v>
      </c>
      <c r="E357" s="240">
        <v>45436</v>
      </c>
      <c r="F357" s="241">
        <v>3649.85</v>
      </c>
      <c r="G357" s="242" t="str">
        <f>IF(Tableau3453[[#This Row],[Date 
du paiement]]="",Tableau3453[[#This Row],[Montant
de la facture
CHF]],"")</f>
        <v/>
      </c>
      <c r="H357" s="243"/>
      <c r="I357" s="245">
        <v>45440</v>
      </c>
      <c r="J357" s="246">
        <v>45446</v>
      </c>
      <c r="K357" s="247" t="s">
        <v>58</v>
      </c>
      <c r="L357" s="248"/>
      <c r="M357" s="248">
        <f>IF(Tableau3453[[#This Row],[Date 
du paiement]]="",$D$4-Tableau3453[[#This Row],[Date
de la facture]],Tableau3453[[#This Row],[Date 
du paiement]]-Tableau3453[[#This Row],[Date
de la facture]])</f>
        <v>10</v>
      </c>
      <c r="N357" s="241" t="str">
        <f>IF(Tableau3453[[#This Row],[Date 
du paiement]]="",IF(Tableau3453[[#This Row],[Jours]]&lt;30,Tableau3453[[#This Row],[Montant
de la facture
CHF]],""),"")</f>
        <v/>
      </c>
      <c r="O357" s="241" t="str">
        <f>IF(Tableau3453[[#This Row],[Date 
du paiement]]="",IF(Tableau3453[[#This Row],[Jours]]&gt;30,IF(Tableau3453[[#This Row],[Jours]]&lt;60,Tableau3453[[#This Row],[Montant
de la facture
CHF]],""),""),"")</f>
        <v/>
      </c>
      <c r="P357" s="241" t="str">
        <f>IF(Tableau3453[[#This Row],[Date 
du paiement]]="",IF(Tableau3453[[#This Row],[Jours]]&gt;60,Tableau3453[[#This Row],[Montant
de la facture
CHF]],""),"")</f>
        <v/>
      </c>
      <c r="Q357" s="249"/>
      <c r="R357" s="250" t="str">
        <f>Tableau3453[[#This Row],[Solde 
ouverte
fm]]</f>
        <v/>
      </c>
      <c r="S35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8" spans="1:19" hidden="1" outlineLevel="1" x14ac:dyDescent="0.25">
      <c r="A358" s="238">
        <v>240504</v>
      </c>
      <c r="B358" s="239" t="s">
        <v>860</v>
      </c>
      <c r="C358" s="352" t="str">
        <f>IF(Tableau3453[[#This Row],[Date 
du paiement]]="",IF(Tableau3453[[#This Row],[Jours]]&gt;Tableau3453[[#This Row],[Conditions
pmt+]]+5,"oui",""),"")</f>
        <v/>
      </c>
      <c r="D358" s="251" t="s">
        <v>1030</v>
      </c>
      <c r="E358" s="240">
        <v>45439</v>
      </c>
      <c r="F358" s="241">
        <v>696.3</v>
      </c>
      <c r="G358" s="242" t="str">
        <f>IF(Tableau3453[[#This Row],[Date 
du paiement]]="",Tableau3453[[#This Row],[Montant
de la facture
CHF]],"")</f>
        <v/>
      </c>
      <c r="H358" s="243" t="s">
        <v>1031</v>
      </c>
      <c r="I358" s="245">
        <v>45441</v>
      </c>
      <c r="J358" s="246">
        <v>45474</v>
      </c>
      <c r="K358" s="247" t="s">
        <v>58</v>
      </c>
      <c r="L358" s="248"/>
      <c r="M358" s="248">
        <f>IF(Tableau3453[[#This Row],[Date 
du paiement]]="",$D$4-Tableau3453[[#This Row],[Date
de la facture]],Tableau3453[[#This Row],[Date 
du paiement]]-Tableau3453[[#This Row],[Date
de la facture]])</f>
        <v>35</v>
      </c>
      <c r="N358" s="241" t="str">
        <f>IF(Tableau3453[[#This Row],[Date 
du paiement]]="",IF(Tableau3453[[#This Row],[Jours]]&lt;30,Tableau3453[[#This Row],[Montant
de la facture
CHF]],""),"")</f>
        <v/>
      </c>
      <c r="O358" s="241" t="str">
        <f>IF(Tableau3453[[#This Row],[Date 
du paiement]]="",IF(Tableau3453[[#This Row],[Jours]]&gt;30,IF(Tableau3453[[#This Row],[Jours]]&lt;60,Tableau3453[[#This Row],[Montant
de la facture
CHF]],""),""),"")</f>
        <v/>
      </c>
      <c r="P358" s="241" t="str">
        <f>IF(Tableau3453[[#This Row],[Date 
du paiement]]="",IF(Tableau3453[[#This Row],[Jours]]&gt;60,Tableau3453[[#This Row],[Montant
de la facture
CHF]],""),"")</f>
        <v/>
      </c>
      <c r="Q358" s="249"/>
      <c r="R358" s="250" t="str">
        <f>Tableau3453[[#This Row],[Solde 
ouverte
fm]]</f>
        <v/>
      </c>
      <c r="S35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59" spans="1:19" hidden="1" outlineLevel="1" x14ac:dyDescent="0.25">
      <c r="A359" s="238">
        <v>240515</v>
      </c>
      <c r="B359" s="239" t="s">
        <v>860</v>
      </c>
      <c r="C359" s="352" t="str">
        <f>IF(Tableau3453[[#This Row],[Date 
du paiement]]="",IF(Tableau3453[[#This Row],[Jours]]&gt;Tableau3453[[#This Row],[Conditions
pmt+]]+5,"oui",""),"")</f>
        <v/>
      </c>
      <c r="D359" s="238" t="s">
        <v>899</v>
      </c>
      <c r="E359" s="240">
        <v>45439</v>
      </c>
      <c r="F359" s="241">
        <v>4752.1000000000004</v>
      </c>
      <c r="G359" s="242" t="str">
        <f>IF(Tableau3453[[#This Row],[Date 
du paiement]]="",Tableau3453[[#This Row],[Montant
de la facture
CHF]],"")</f>
        <v/>
      </c>
      <c r="H359" s="243"/>
      <c r="I359" s="245">
        <v>45439</v>
      </c>
      <c r="J359" s="246">
        <v>45457</v>
      </c>
      <c r="K359" s="247" t="s">
        <v>58</v>
      </c>
      <c r="L359" s="248"/>
      <c r="M359" s="248">
        <f>IF(Tableau3453[[#This Row],[Date 
du paiement]]="",$D$4-Tableau3453[[#This Row],[Date
de la facture]],Tableau3453[[#This Row],[Date 
du paiement]]-Tableau3453[[#This Row],[Date
de la facture]])</f>
        <v>18</v>
      </c>
      <c r="N359" s="241" t="str">
        <f>IF(Tableau3453[[#This Row],[Date 
du paiement]]="",IF(Tableau3453[[#This Row],[Jours]]&lt;30,Tableau3453[[#This Row],[Montant
de la facture
CHF]],""),"")</f>
        <v/>
      </c>
      <c r="O359" s="241" t="str">
        <f>IF(Tableau3453[[#This Row],[Date 
du paiement]]="",IF(Tableau3453[[#This Row],[Jours]]&gt;30,IF(Tableau3453[[#This Row],[Jours]]&lt;60,Tableau3453[[#This Row],[Montant
de la facture
CHF]],""),""),"")</f>
        <v/>
      </c>
      <c r="P359" s="241" t="str">
        <f>IF(Tableau3453[[#This Row],[Date 
du paiement]]="",IF(Tableau3453[[#This Row],[Jours]]&gt;60,Tableau3453[[#This Row],[Montant
de la facture
CHF]],""),"")</f>
        <v/>
      </c>
      <c r="Q359" s="249"/>
      <c r="R359" s="250" t="str">
        <f>Tableau3453[[#This Row],[Solde 
ouverte
fm]]</f>
        <v/>
      </c>
      <c r="S3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0" spans="1:19" hidden="1" outlineLevel="1" x14ac:dyDescent="0.25">
      <c r="A360" s="238">
        <v>240508</v>
      </c>
      <c r="B360" s="239" t="s">
        <v>860</v>
      </c>
      <c r="C360" s="352" t="str">
        <f>IF(Tableau3453[[#This Row],[Date 
du paiement]]="",IF(Tableau3453[[#This Row],[Jours]]&gt;Tableau3453[[#This Row],[Conditions
pmt+]]+5,"oui",""),"")</f>
        <v/>
      </c>
      <c r="D360" s="251" t="s">
        <v>380</v>
      </c>
      <c r="E360" s="240">
        <v>45439</v>
      </c>
      <c r="F360" s="241">
        <v>514.6</v>
      </c>
      <c r="G360" s="242" t="str">
        <f>IF(Tableau3453[[#This Row],[Date 
du paiement]]="",Tableau3453[[#This Row],[Montant
de la facture
CHF]],"")</f>
        <v/>
      </c>
      <c r="H360" s="243"/>
      <c r="I360" s="245">
        <v>45441</v>
      </c>
      <c r="J360" s="246">
        <v>45443</v>
      </c>
      <c r="K360" s="247" t="s">
        <v>58</v>
      </c>
      <c r="L360" s="248"/>
      <c r="M360" s="248">
        <f>IF(Tableau3453[[#This Row],[Date 
du paiement]]="",$D$4-Tableau3453[[#This Row],[Date
de la facture]],Tableau3453[[#This Row],[Date 
du paiement]]-Tableau3453[[#This Row],[Date
de la facture]])</f>
        <v>4</v>
      </c>
      <c r="N360" s="241" t="str">
        <f>IF(Tableau3453[[#This Row],[Date 
du paiement]]="",IF(Tableau3453[[#This Row],[Jours]]&lt;30,Tableau3453[[#This Row],[Montant
de la facture
CHF]],""),"")</f>
        <v/>
      </c>
      <c r="O360" s="241" t="str">
        <f>IF(Tableau3453[[#This Row],[Date 
du paiement]]="",IF(Tableau3453[[#This Row],[Jours]]&gt;30,IF(Tableau3453[[#This Row],[Jours]]&lt;60,Tableau3453[[#This Row],[Montant
de la facture
CHF]],""),""),"")</f>
        <v/>
      </c>
      <c r="P360" s="241" t="str">
        <f>IF(Tableau3453[[#This Row],[Date 
du paiement]]="",IF(Tableau3453[[#This Row],[Jours]]&gt;60,Tableau3453[[#This Row],[Montant
de la facture
CHF]],""),"")</f>
        <v/>
      </c>
      <c r="Q360" s="249"/>
      <c r="R360" s="250" t="str">
        <f>Tableau3453[[#This Row],[Solde 
ouverte
fm]]</f>
        <v/>
      </c>
      <c r="S36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1" spans="1:19" hidden="1" outlineLevel="1" x14ac:dyDescent="0.25">
      <c r="A361" s="238">
        <v>240470</v>
      </c>
      <c r="B361" s="239" t="s">
        <v>860</v>
      </c>
      <c r="C361" s="352" t="str">
        <f>IF(Tableau3453[[#This Row],[Date 
du paiement]]="",IF(Tableau3453[[#This Row],[Jours]]&gt;Tableau3453[[#This Row],[Conditions
pmt+]]+5,"oui",""),"")</f>
        <v/>
      </c>
      <c r="D361" s="251" t="s">
        <v>1040</v>
      </c>
      <c r="E361" s="240">
        <v>45440</v>
      </c>
      <c r="F361" s="241">
        <v>7990.8</v>
      </c>
      <c r="G361" s="242" t="str">
        <f>IF(Tableau3453[[#This Row],[Date 
du paiement]]="",Tableau3453[[#This Row],[Montant
de la facture
CHF]],"")</f>
        <v/>
      </c>
      <c r="H361" s="243"/>
      <c r="I361" s="245">
        <v>45441</v>
      </c>
      <c r="J361" s="246">
        <v>45467</v>
      </c>
      <c r="K361" s="247" t="s">
        <v>58</v>
      </c>
      <c r="L361" s="248"/>
      <c r="M361" s="248">
        <f>IF(Tableau3453[[#This Row],[Date 
du paiement]]="",$D$4-Tableau3453[[#This Row],[Date
de la facture]],Tableau3453[[#This Row],[Date 
du paiement]]-Tableau3453[[#This Row],[Date
de la facture]])</f>
        <v>27</v>
      </c>
      <c r="N361" s="241" t="str">
        <f>IF(Tableau3453[[#This Row],[Date 
du paiement]]="",IF(Tableau3453[[#This Row],[Jours]]&lt;30,Tableau3453[[#This Row],[Montant
de la facture
CHF]],""),"")</f>
        <v/>
      </c>
      <c r="O361" s="241" t="str">
        <f>IF(Tableau3453[[#This Row],[Date 
du paiement]]="",IF(Tableau3453[[#This Row],[Jours]]&gt;30,IF(Tableau3453[[#This Row],[Jours]]&lt;60,Tableau3453[[#This Row],[Montant
de la facture
CHF]],""),""),"")</f>
        <v/>
      </c>
      <c r="P361" s="241" t="str">
        <f>IF(Tableau3453[[#This Row],[Date 
du paiement]]="",IF(Tableau3453[[#This Row],[Jours]]&gt;60,Tableau3453[[#This Row],[Montant
de la facture
CHF]],""),"")</f>
        <v/>
      </c>
      <c r="Q361" s="249"/>
      <c r="R361" s="250" t="str">
        <f>Tableau3453[[#This Row],[Solde 
ouverte
fm]]</f>
        <v/>
      </c>
      <c r="S36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2" spans="1:19" hidden="1" outlineLevel="1" x14ac:dyDescent="0.25">
      <c r="A362" s="238">
        <v>240518</v>
      </c>
      <c r="B362" s="239" t="s">
        <v>860</v>
      </c>
      <c r="C362" s="352" t="str">
        <f>IF(Tableau3453[[#This Row],[Date 
du paiement]]="",IF(Tableau3453[[#This Row],[Jours]]&gt;Tableau3453[[#This Row],[Conditions
pmt+]]+5,"oui",""),"")</f>
        <v/>
      </c>
      <c r="D362" s="251" t="s">
        <v>902</v>
      </c>
      <c r="E362" s="240">
        <v>45440</v>
      </c>
      <c r="F362" s="241">
        <v>4134.8500000000004</v>
      </c>
      <c r="G362" s="242" t="str">
        <f>IF(Tableau3453[[#This Row],[Date 
du paiement]]="",Tableau3453[[#This Row],[Montant
de la facture
CHF]],"")</f>
        <v/>
      </c>
      <c r="H362" s="243"/>
      <c r="I362" s="245">
        <v>45441</v>
      </c>
      <c r="J362" s="246">
        <v>45464</v>
      </c>
      <c r="K362" s="247" t="s">
        <v>58</v>
      </c>
      <c r="L362" s="248"/>
      <c r="M362" s="248">
        <f>IF(Tableau3453[[#This Row],[Date 
du paiement]]="",$D$4-Tableau3453[[#This Row],[Date
de la facture]],Tableau3453[[#This Row],[Date 
du paiement]]-Tableau3453[[#This Row],[Date
de la facture]])</f>
        <v>24</v>
      </c>
      <c r="N362" s="241" t="str">
        <f>IF(Tableau3453[[#This Row],[Date 
du paiement]]="",IF(Tableau3453[[#This Row],[Jours]]&lt;30,Tableau3453[[#This Row],[Montant
de la facture
CHF]],""),"")</f>
        <v/>
      </c>
      <c r="O362" s="241" t="str">
        <f>IF(Tableau3453[[#This Row],[Date 
du paiement]]="",IF(Tableau3453[[#This Row],[Jours]]&gt;30,IF(Tableau3453[[#This Row],[Jours]]&lt;60,Tableau3453[[#This Row],[Montant
de la facture
CHF]],""),""),"")</f>
        <v/>
      </c>
      <c r="P362" s="241" t="str">
        <f>IF(Tableau3453[[#This Row],[Date 
du paiement]]="",IF(Tableau3453[[#This Row],[Jours]]&gt;60,Tableau3453[[#This Row],[Montant
de la facture
CHF]],""),"")</f>
        <v/>
      </c>
      <c r="Q362" s="249"/>
      <c r="R362" s="250" t="str">
        <f>Tableau3453[[#This Row],[Solde 
ouverte
fm]]</f>
        <v/>
      </c>
      <c r="S36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3" spans="1:19" hidden="1" outlineLevel="1" x14ac:dyDescent="0.25">
      <c r="A363" s="268">
        <v>240565</v>
      </c>
      <c r="B363" s="239">
        <v>30</v>
      </c>
      <c r="C363" s="352" t="str">
        <f>IF(Tableau3453[[#This Row],[Date 
du paiement]]="",IF(Tableau3453[[#This Row],[Jours]]&gt;Tableau3453[[#This Row],[Conditions
pmt+]]+5,"oui",""),"")</f>
        <v/>
      </c>
      <c r="D363" s="262" t="s">
        <v>899</v>
      </c>
      <c r="E363" s="240">
        <v>45469</v>
      </c>
      <c r="F363" s="263">
        <v>3636.2</v>
      </c>
      <c r="G363" s="242" t="str">
        <f>IF(Tableau3453[[#This Row],[Date 
du paiement]]="",Tableau3453[[#This Row],[Montant
de la facture
CHF]],"")</f>
        <v/>
      </c>
      <c r="H363" s="243"/>
      <c r="I363" s="245">
        <v>45470</v>
      </c>
      <c r="J363" s="246">
        <v>45504</v>
      </c>
      <c r="K363" s="247" t="s">
        <v>58</v>
      </c>
      <c r="L363" s="264"/>
      <c r="M363" s="265">
        <f>IF(Tableau3453[[#This Row],[Date 
du paiement]]="",$D$4-Tableau3453[[#This Row],[Date
de la facture]],Tableau3453[[#This Row],[Date 
du paiement]]-Tableau3453[[#This Row],[Date
de la facture]])</f>
        <v>35</v>
      </c>
      <c r="N363" s="263" t="str">
        <f>IF(Tableau3453[[#This Row],[Date 
du paiement]]="",IF(Tableau3453[[#This Row],[Jours]]&lt;30,Tableau3453[[#This Row],[Montant
de la facture
CHF]],""),"")</f>
        <v/>
      </c>
      <c r="O363" s="263" t="str">
        <f>IF(Tableau3453[[#This Row],[Date 
du paiement]]="",IF(Tableau3453[[#This Row],[Jours]]&gt;30,IF(Tableau3453[[#This Row],[Jours]]&lt;60,Tableau3453[[#This Row],[Montant
de la facture
CHF]],""),""),"")</f>
        <v/>
      </c>
      <c r="P363" s="263" t="str">
        <f>IF(Tableau3453[[#This Row],[Date 
du paiement]]="",IF(Tableau3453[[#This Row],[Jours]]&gt;60,Tableau3453[[#This Row],[Montant
de la facture
CHF]],""),"")</f>
        <v/>
      </c>
      <c r="Q363" s="266"/>
      <c r="R363" s="267" t="str">
        <f>Tableau3453[[#This Row],[Solde 
ouverte
fm]]</f>
        <v/>
      </c>
      <c r="S3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4" spans="1:19" hidden="1" outlineLevel="1" x14ac:dyDescent="0.25">
      <c r="A364" s="238">
        <v>240476</v>
      </c>
      <c r="B364" s="239" t="s">
        <v>860</v>
      </c>
      <c r="C364" s="352" t="str">
        <f>IF(Tableau3453[[#This Row],[Date 
du paiement]]="",IF(Tableau3453[[#This Row],[Jours]]&gt;Tableau3453[[#This Row],[Conditions
pmt+]]+5,"oui",""),"")</f>
        <v/>
      </c>
      <c r="D364" s="251" t="s">
        <v>964</v>
      </c>
      <c r="E364" s="240">
        <v>45441</v>
      </c>
      <c r="F364" s="241">
        <v>837.45</v>
      </c>
      <c r="G364" s="242" t="str">
        <f>IF(Tableau3453[[#This Row],[Date 
du paiement]]="",Tableau3453[[#This Row],[Montant
de la facture
CHF]],"")</f>
        <v/>
      </c>
      <c r="H364" s="243"/>
      <c r="I364" s="245">
        <v>45443</v>
      </c>
      <c r="J364" s="246">
        <v>45474</v>
      </c>
      <c r="K364" s="247" t="s">
        <v>58</v>
      </c>
      <c r="L364" s="248"/>
      <c r="M364" s="248">
        <f>IF(Tableau3453[[#This Row],[Date 
du paiement]]="",$D$4-Tableau3453[[#This Row],[Date
de la facture]],Tableau3453[[#This Row],[Date 
du paiement]]-Tableau3453[[#This Row],[Date
de la facture]])</f>
        <v>33</v>
      </c>
      <c r="N364" s="241" t="str">
        <f>IF(Tableau3453[[#This Row],[Date 
du paiement]]="",IF(Tableau3453[[#This Row],[Jours]]&lt;30,Tableau3453[[#This Row],[Montant
de la facture
CHF]],""),"")</f>
        <v/>
      </c>
      <c r="O364" s="241" t="str">
        <f>IF(Tableau3453[[#This Row],[Date 
du paiement]]="",IF(Tableau3453[[#This Row],[Jours]]&gt;30,IF(Tableau3453[[#This Row],[Jours]]&lt;60,Tableau3453[[#This Row],[Montant
de la facture
CHF]],""),""),"")</f>
        <v/>
      </c>
      <c r="P364" s="241" t="str">
        <f>IF(Tableau3453[[#This Row],[Date 
du paiement]]="",IF(Tableau3453[[#This Row],[Jours]]&gt;60,Tableau3453[[#This Row],[Montant
de la facture
CHF]],""),"")</f>
        <v/>
      </c>
      <c r="Q364" s="249"/>
      <c r="R364" s="250" t="str">
        <f>Tableau3453[[#This Row],[Solde 
ouverte
fm]]</f>
        <v/>
      </c>
      <c r="S36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5" spans="1:19" hidden="1" outlineLevel="1" x14ac:dyDescent="0.25">
      <c r="A365" s="238">
        <v>240413</v>
      </c>
      <c r="B365" s="239" t="s">
        <v>860</v>
      </c>
      <c r="C365" s="352" t="str">
        <f>IF(Tableau3453[[#This Row],[Date 
du paiement]]="",IF(Tableau3453[[#This Row],[Jours]]&gt;Tableau3453[[#This Row],[Conditions
pmt+]]+5,"oui",""),"")</f>
        <v/>
      </c>
      <c r="D365" s="251" t="s">
        <v>880</v>
      </c>
      <c r="E365" s="240">
        <v>45441</v>
      </c>
      <c r="F365" s="241">
        <v>1748.3</v>
      </c>
      <c r="G365" s="242" t="str">
        <f>IF(Tableau3453[[#This Row],[Date 
du paiement]]="",Tableau3453[[#This Row],[Montant
de la facture
CHF]],"")</f>
        <v/>
      </c>
      <c r="H365" s="243"/>
      <c r="I365" s="245">
        <v>45443</v>
      </c>
      <c r="J365" s="246">
        <v>45468</v>
      </c>
      <c r="K365" s="247" t="s">
        <v>58</v>
      </c>
      <c r="L365" s="248"/>
      <c r="M365" s="248">
        <f>IF(Tableau3453[[#This Row],[Date 
du paiement]]="",$D$4-Tableau3453[[#This Row],[Date
de la facture]],Tableau3453[[#This Row],[Date 
du paiement]]-Tableau3453[[#This Row],[Date
de la facture]])</f>
        <v>27</v>
      </c>
      <c r="N365" s="241" t="str">
        <f>IF(Tableau3453[[#This Row],[Date 
du paiement]]="",IF(Tableau3453[[#This Row],[Jours]]&lt;30,Tableau3453[[#This Row],[Montant
de la facture
CHF]],""),"")</f>
        <v/>
      </c>
      <c r="O365" s="241" t="str">
        <f>IF(Tableau3453[[#This Row],[Date 
du paiement]]="",IF(Tableau3453[[#This Row],[Jours]]&gt;30,IF(Tableau3453[[#This Row],[Jours]]&lt;60,Tableau3453[[#This Row],[Montant
de la facture
CHF]],""),""),"")</f>
        <v/>
      </c>
      <c r="P365" s="241" t="str">
        <f>IF(Tableau3453[[#This Row],[Date 
du paiement]]="",IF(Tableau3453[[#This Row],[Jours]]&gt;60,Tableau3453[[#This Row],[Montant
de la facture
CHF]],""),"")</f>
        <v/>
      </c>
      <c r="Q365" s="249"/>
      <c r="R365" s="250" t="str">
        <f>Tableau3453[[#This Row],[Solde 
ouverte
fm]]</f>
        <v/>
      </c>
      <c r="S36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6" spans="1:19" hidden="1" outlineLevel="1" x14ac:dyDescent="0.25">
      <c r="A366" s="238">
        <v>240521</v>
      </c>
      <c r="B366" s="239" t="s">
        <v>860</v>
      </c>
      <c r="C366" s="352" t="str">
        <f>IF(Tableau3453[[#This Row],[Date 
du paiement]]="",IF(Tableau3453[[#This Row],[Jours]]&gt;Tableau3453[[#This Row],[Conditions
pmt+]]+5,"oui",""),"")</f>
        <v/>
      </c>
      <c r="D366" s="251" t="s">
        <v>929</v>
      </c>
      <c r="E366" s="240">
        <v>45441</v>
      </c>
      <c r="F366" s="241">
        <v>914.3</v>
      </c>
      <c r="G366" s="242" t="str">
        <f>IF(Tableau3453[[#This Row],[Date 
du paiement]]="",Tableau3453[[#This Row],[Montant
de la facture
CHF]],"")</f>
        <v/>
      </c>
      <c r="H366" s="243"/>
      <c r="I366" s="245">
        <v>45443</v>
      </c>
      <c r="J366" s="246">
        <v>45456</v>
      </c>
      <c r="K366" s="247" t="s">
        <v>58</v>
      </c>
      <c r="L366" s="248"/>
      <c r="M366" s="248">
        <f>IF(Tableau3453[[#This Row],[Date 
du paiement]]="",$D$4-Tableau3453[[#This Row],[Date
de la facture]],Tableau3453[[#This Row],[Date 
du paiement]]-Tableau3453[[#This Row],[Date
de la facture]])</f>
        <v>15</v>
      </c>
      <c r="N366" s="241" t="str">
        <f>IF(Tableau3453[[#This Row],[Date 
du paiement]]="",IF(Tableau3453[[#This Row],[Jours]]&lt;30,Tableau3453[[#This Row],[Montant
de la facture
CHF]],""),"")</f>
        <v/>
      </c>
      <c r="O366" s="241" t="str">
        <f>IF(Tableau3453[[#This Row],[Date 
du paiement]]="",IF(Tableau3453[[#This Row],[Jours]]&gt;30,IF(Tableau3453[[#This Row],[Jours]]&lt;60,Tableau3453[[#This Row],[Montant
de la facture
CHF]],""),""),"")</f>
        <v/>
      </c>
      <c r="P366" s="241" t="str">
        <f>IF(Tableau3453[[#This Row],[Date 
du paiement]]="",IF(Tableau3453[[#This Row],[Jours]]&gt;60,Tableau3453[[#This Row],[Montant
de la facture
CHF]],""),"")</f>
        <v/>
      </c>
      <c r="Q366" s="249"/>
      <c r="R366" s="250" t="str">
        <f>Tableau3453[[#This Row],[Solde 
ouverte
fm]]</f>
        <v/>
      </c>
      <c r="S36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7" spans="1:19" hidden="1" outlineLevel="1" x14ac:dyDescent="0.25">
      <c r="A367" s="238">
        <v>240459</v>
      </c>
      <c r="B367" s="239" t="s">
        <v>860</v>
      </c>
      <c r="C367" s="352" t="str">
        <f>IF(Tableau3453[[#This Row],[Date 
du paiement]]="",IF(Tableau3453[[#This Row],[Jours]]&gt;Tableau3453[[#This Row],[Conditions
pmt+]]+5,"oui",""),"")</f>
        <v/>
      </c>
      <c r="D367" s="251" t="s">
        <v>885</v>
      </c>
      <c r="E367" s="240">
        <v>45441</v>
      </c>
      <c r="F367" s="241">
        <v>2221.4</v>
      </c>
      <c r="G367" s="242" t="str">
        <f>IF(Tableau3453[[#This Row],[Date 
du paiement]]="",Tableau3453[[#This Row],[Montant
de la facture
CHF]],"")</f>
        <v/>
      </c>
      <c r="H367" s="243"/>
      <c r="I367" s="245">
        <v>45443</v>
      </c>
      <c r="J367" s="246">
        <v>45454</v>
      </c>
      <c r="K367" s="247" t="s">
        <v>58</v>
      </c>
      <c r="L367" s="248"/>
      <c r="M367" s="248">
        <f>IF(Tableau3453[[#This Row],[Date 
du paiement]]="",$D$4-Tableau3453[[#This Row],[Date
de la facture]],Tableau3453[[#This Row],[Date 
du paiement]]-Tableau3453[[#This Row],[Date
de la facture]])</f>
        <v>13</v>
      </c>
      <c r="N367" s="241" t="str">
        <f>IF(Tableau3453[[#This Row],[Date 
du paiement]]="",IF(Tableau3453[[#This Row],[Jours]]&lt;30,Tableau3453[[#This Row],[Montant
de la facture
CHF]],""),"")</f>
        <v/>
      </c>
      <c r="O367" s="241" t="str">
        <f>IF(Tableau3453[[#This Row],[Date 
du paiement]]="",IF(Tableau3453[[#This Row],[Jours]]&gt;30,IF(Tableau3453[[#This Row],[Jours]]&lt;60,Tableau3453[[#This Row],[Montant
de la facture
CHF]],""),""),"")</f>
        <v/>
      </c>
      <c r="P367" s="241" t="str">
        <f>IF(Tableau3453[[#This Row],[Date 
du paiement]]="",IF(Tableau3453[[#This Row],[Jours]]&gt;60,Tableau3453[[#This Row],[Montant
de la facture
CHF]],""),"")</f>
        <v/>
      </c>
      <c r="Q367" s="249"/>
      <c r="R367" s="250" t="str">
        <f>Tableau3453[[#This Row],[Solde 
ouverte
fm]]</f>
        <v/>
      </c>
      <c r="S36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8" spans="1:19" hidden="1" outlineLevel="1" x14ac:dyDescent="0.25">
      <c r="A368" s="238">
        <v>240529</v>
      </c>
      <c r="B368" s="239" t="s">
        <v>860</v>
      </c>
      <c r="C368" s="352" t="str">
        <f>IF(Tableau3453[[#This Row],[Date 
du paiement]]="",IF(Tableau3453[[#This Row],[Jours]]&gt;Tableau3453[[#This Row],[Conditions
pmt+]]+5,"oui",""),"")</f>
        <v/>
      </c>
      <c r="D368" s="251" t="s">
        <v>885</v>
      </c>
      <c r="E368" s="240">
        <v>45441</v>
      </c>
      <c r="F368" s="241">
        <v>2178.65</v>
      </c>
      <c r="G368" s="242" t="str">
        <f>IF(Tableau3453[[#This Row],[Date 
du paiement]]="",Tableau3453[[#This Row],[Montant
de la facture
CHF]],"")</f>
        <v/>
      </c>
      <c r="H368" s="243"/>
      <c r="I368" s="245">
        <v>45443</v>
      </c>
      <c r="J368" s="246">
        <v>45454</v>
      </c>
      <c r="K368" s="247" t="s">
        <v>58</v>
      </c>
      <c r="L368" s="248"/>
      <c r="M368" s="248">
        <f>IF(Tableau3453[[#This Row],[Date 
du paiement]]="",$D$4-Tableau3453[[#This Row],[Date
de la facture]],Tableau3453[[#This Row],[Date 
du paiement]]-Tableau3453[[#This Row],[Date
de la facture]])</f>
        <v>13</v>
      </c>
      <c r="N368" s="241" t="str">
        <f>IF(Tableau3453[[#This Row],[Date 
du paiement]]="",IF(Tableau3453[[#This Row],[Jours]]&lt;30,Tableau3453[[#This Row],[Montant
de la facture
CHF]],""),"")</f>
        <v/>
      </c>
      <c r="O368" s="241" t="str">
        <f>IF(Tableau3453[[#This Row],[Date 
du paiement]]="",IF(Tableau3453[[#This Row],[Jours]]&gt;30,IF(Tableau3453[[#This Row],[Jours]]&lt;60,Tableau3453[[#This Row],[Montant
de la facture
CHF]],""),""),"")</f>
        <v/>
      </c>
      <c r="P368" s="241" t="str">
        <f>IF(Tableau3453[[#This Row],[Date 
du paiement]]="",IF(Tableau3453[[#This Row],[Jours]]&gt;60,Tableau3453[[#This Row],[Montant
de la facture
CHF]],""),"")</f>
        <v/>
      </c>
      <c r="Q368" s="249"/>
      <c r="R368" s="250" t="str">
        <f>Tableau3453[[#This Row],[Solde 
ouverte
fm]]</f>
        <v/>
      </c>
      <c r="S36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69" spans="1:19" hidden="1" outlineLevel="1" x14ac:dyDescent="0.25">
      <c r="A369" s="238">
        <v>240531</v>
      </c>
      <c r="B369" s="239" t="s">
        <v>860</v>
      </c>
      <c r="C369" s="352" t="str">
        <f>IF(Tableau3453[[#This Row],[Date 
du paiement]]="",IF(Tableau3453[[#This Row],[Jours]]&gt;Tableau3453[[#This Row],[Conditions
pmt+]]+5,"oui",""),"")</f>
        <v/>
      </c>
      <c r="D369" s="238" t="s">
        <v>1026</v>
      </c>
      <c r="E369" s="240">
        <v>45441</v>
      </c>
      <c r="F369" s="241">
        <v>1793.35</v>
      </c>
      <c r="G369" s="242" t="str">
        <f>IF(Tableau3453[[#This Row],[Date 
du paiement]]="",Tableau3453[[#This Row],[Montant
de la facture
CHF]],"")</f>
        <v/>
      </c>
      <c r="H369" s="243"/>
      <c r="I369" s="245">
        <v>45441</v>
      </c>
      <c r="J369" s="246">
        <v>45450</v>
      </c>
      <c r="K369" s="247" t="s">
        <v>58</v>
      </c>
      <c r="L369" s="248"/>
      <c r="M369" s="248">
        <f>IF(Tableau3453[[#This Row],[Date 
du paiement]]="",$D$4-Tableau3453[[#This Row],[Date
de la facture]],Tableau3453[[#This Row],[Date 
du paiement]]-Tableau3453[[#This Row],[Date
de la facture]])</f>
        <v>9</v>
      </c>
      <c r="N369" s="241" t="str">
        <f>IF(Tableau3453[[#This Row],[Date 
du paiement]]="",IF(Tableau3453[[#This Row],[Jours]]&lt;30,Tableau3453[[#This Row],[Montant
de la facture
CHF]],""),"")</f>
        <v/>
      </c>
      <c r="O369" s="241" t="str">
        <f>IF(Tableau3453[[#This Row],[Date 
du paiement]]="",IF(Tableau3453[[#This Row],[Jours]]&gt;30,IF(Tableau3453[[#This Row],[Jours]]&lt;60,Tableau3453[[#This Row],[Montant
de la facture
CHF]],""),""),"")</f>
        <v/>
      </c>
      <c r="P369" s="241" t="str">
        <f>IF(Tableau3453[[#This Row],[Date 
du paiement]]="",IF(Tableau3453[[#This Row],[Jours]]&gt;60,Tableau3453[[#This Row],[Montant
de la facture
CHF]],""),"")</f>
        <v/>
      </c>
      <c r="Q369" s="249"/>
      <c r="R369" s="250" t="str">
        <f>Tableau3453[[#This Row],[Solde 
ouverte
fm]]</f>
        <v/>
      </c>
      <c r="S36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0" spans="1:19" hidden="1" outlineLevel="1" x14ac:dyDescent="0.25">
      <c r="A370" s="238">
        <v>240517</v>
      </c>
      <c r="B370" s="239" t="s">
        <v>860</v>
      </c>
      <c r="C370" s="352" t="str">
        <f>IF(Tableau3453[[#This Row],[Date 
du paiement]]="",IF(Tableau3453[[#This Row],[Jours]]&gt;Tableau3453[[#This Row],[Conditions
pmt+]]+5,"oui",""),"")</f>
        <v/>
      </c>
      <c r="D370" s="251" t="s">
        <v>927</v>
      </c>
      <c r="E370" s="240">
        <v>45441</v>
      </c>
      <c r="F370" s="241">
        <v>170.8</v>
      </c>
      <c r="G370" s="242" t="str">
        <f>IF(Tableau3453[[#This Row],[Date 
du paiement]]="",Tableau3453[[#This Row],[Montant
de la facture
CHF]],"")</f>
        <v/>
      </c>
      <c r="H370" s="243"/>
      <c r="I370" s="245">
        <v>45443</v>
      </c>
      <c r="J370" s="246">
        <v>45477</v>
      </c>
      <c r="K370" s="247" t="s">
        <v>58</v>
      </c>
      <c r="L370" s="248"/>
      <c r="M370" s="248">
        <f>IF(Tableau3453[[#This Row],[Date 
du paiement]]="",$D$4-Tableau3453[[#This Row],[Date
de la facture]],Tableau3453[[#This Row],[Date 
du paiement]]-Tableau3453[[#This Row],[Date
de la facture]])</f>
        <v>36</v>
      </c>
      <c r="N370" s="241" t="str">
        <f>IF(Tableau3453[[#This Row],[Date 
du paiement]]="",IF(Tableau3453[[#This Row],[Jours]]&lt;30,Tableau3453[[#This Row],[Montant
de la facture
CHF]],""),"")</f>
        <v/>
      </c>
      <c r="O370" s="241" t="str">
        <f>IF(Tableau3453[[#This Row],[Date 
du paiement]]="",IF(Tableau3453[[#This Row],[Jours]]&gt;30,IF(Tableau3453[[#This Row],[Jours]]&lt;60,Tableau3453[[#This Row],[Montant
de la facture
CHF]],""),""),"")</f>
        <v/>
      </c>
      <c r="P370" s="241" t="str">
        <f>IF(Tableau3453[[#This Row],[Date 
du paiement]]="",IF(Tableau3453[[#This Row],[Jours]]&gt;60,Tableau3453[[#This Row],[Montant
de la facture
CHF]],""),"")</f>
        <v/>
      </c>
      <c r="Q370" s="249"/>
      <c r="R370" s="250" t="str">
        <f>Tableau3453[[#This Row],[Solde 
ouverte
fm]]</f>
        <v/>
      </c>
      <c r="S37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1" spans="1:19" hidden="1" outlineLevel="1" x14ac:dyDescent="0.25">
      <c r="A371" s="238">
        <v>240534</v>
      </c>
      <c r="B371" s="239" t="s">
        <v>860</v>
      </c>
      <c r="C371" s="352" t="str">
        <f>IF(Tableau3453[[#This Row],[Date 
du paiement]]="",IF(Tableau3453[[#This Row],[Jours]]&gt;Tableau3453[[#This Row],[Conditions
pmt+]]+5,"oui",""),"")</f>
        <v/>
      </c>
      <c r="D371" s="251" t="s">
        <v>927</v>
      </c>
      <c r="E371" s="240">
        <v>45441</v>
      </c>
      <c r="F371" s="241">
        <v>367.55</v>
      </c>
      <c r="G371" s="242" t="str">
        <f>IF(Tableau3453[[#This Row],[Date 
du paiement]]="",Tableau3453[[#This Row],[Montant
de la facture
CHF]],"")</f>
        <v/>
      </c>
      <c r="H371" s="243"/>
      <c r="I371" s="245">
        <v>45443</v>
      </c>
      <c r="J371" s="246">
        <v>45477</v>
      </c>
      <c r="K371" s="247" t="s">
        <v>58</v>
      </c>
      <c r="L371" s="248"/>
      <c r="M371" s="248">
        <f>IF(Tableau3453[[#This Row],[Date 
du paiement]]="",$D$4-Tableau3453[[#This Row],[Date
de la facture]],Tableau3453[[#This Row],[Date 
du paiement]]-Tableau3453[[#This Row],[Date
de la facture]])</f>
        <v>36</v>
      </c>
      <c r="N371" s="241" t="str">
        <f>IF(Tableau3453[[#This Row],[Date 
du paiement]]="",IF(Tableau3453[[#This Row],[Jours]]&lt;30,Tableau3453[[#This Row],[Montant
de la facture
CHF]],""),"")</f>
        <v/>
      </c>
      <c r="O371" s="241" t="str">
        <f>IF(Tableau3453[[#This Row],[Date 
du paiement]]="",IF(Tableau3453[[#This Row],[Jours]]&gt;30,IF(Tableau3453[[#This Row],[Jours]]&lt;60,Tableau3453[[#This Row],[Montant
de la facture
CHF]],""),""),"")</f>
        <v/>
      </c>
      <c r="P371" s="241" t="str">
        <f>IF(Tableau3453[[#This Row],[Date 
du paiement]]="",IF(Tableau3453[[#This Row],[Jours]]&gt;60,Tableau3453[[#This Row],[Montant
de la facture
CHF]],""),"")</f>
        <v/>
      </c>
      <c r="Q371" s="249"/>
      <c r="R371" s="250" t="str">
        <f>Tableau3453[[#This Row],[Solde 
ouverte
fm]]</f>
        <v/>
      </c>
      <c r="S37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2" spans="1:19" hidden="1" outlineLevel="1" x14ac:dyDescent="0.25">
      <c r="A372" s="268">
        <v>240445</v>
      </c>
      <c r="B372" s="239">
        <v>30</v>
      </c>
      <c r="C372" s="352" t="str">
        <f>IF(Tableau3453[[#This Row],[Date 
du paiement]]="",IF(Tableau3453[[#This Row],[Jours]]&gt;Tableau3453[[#This Row],[Conditions
pmt+]]+5,"oui",""),"")</f>
        <v/>
      </c>
      <c r="D372" s="262" t="s">
        <v>929</v>
      </c>
      <c r="E372" s="240">
        <v>45476</v>
      </c>
      <c r="F372" s="263">
        <v>12890.05</v>
      </c>
      <c r="G372" s="242" t="str">
        <f>IF(Tableau3453[[#This Row],[Date 
du paiement]]="",Tableau3453[[#This Row],[Montant
de la facture
CHF]],"")</f>
        <v/>
      </c>
      <c r="H372" s="243"/>
      <c r="I372" s="245">
        <v>45477</v>
      </c>
      <c r="J372" s="246">
        <v>45504</v>
      </c>
      <c r="K372" s="247" t="s">
        <v>58</v>
      </c>
      <c r="L372" s="264"/>
      <c r="M372" s="265">
        <f>IF(Tableau3453[[#This Row],[Date 
du paiement]]="",$D$4-Tableau3453[[#This Row],[Date
de la facture]],Tableau3453[[#This Row],[Date 
du paiement]]-Tableau3453[[#This Row],[Date
de la facture]])</f>
        <v>28</v>
      </c>
      <c r="N372" s="263" t="str">
        <f>IF(Tableau3453[[#This Row],[Date 
du paiement]]="",IF(Tableau3453[[#This Row],[Jours]]&lt;30,Tableau3453[[#This Row],[Montant
de la facture
CHF]],""),"")</f>
        <v/>
      </c>
      <c r="O372" s="263" t="str">
        <f>IF(Tableau3453[[#This Row],[Date 
du paiement]]="",IF(Tableau3453[[#This Row],[Jours]]&gt;30,IF(Tableau3453[[#This Row],[Jours]]&lt;60,Tableau3453[[#This Row],[Montant
de la facture
CHF]],""),""),"")</f>
        <v/>
      </c>
      <c r="P372" s="263" t="str">
        <f>IF(Tableau3453[[#This Row],[Date 
du paiement]]="",IF(Tableau3453[[#This Row],[Jours]]&gt;60,Tableau3453[[#This Row],[Montant
de la facture
CHF]],""),"")</f>
        <v/>
      </c>
      <c r="Q372" s="266"/>
      <c r="R372" s="267" t="str">
        <f>Tableau3453[[#This Row],[Solde 
ouverte
fm]]</f>
        <v/>
      </c>
      <c r="S37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3" spans="1:19" hidden="1" outlineLevel="1" x14ac:dyDescent="0.25">
      <c r="A373" s="238">
        <v>240118</v>
      </c>
      <c r="B373" s="239" t="s">
        <v>860</v>
      </c>
      <c r="C373" s="352" t="str">
        <f>IF(Tableau3453[[#This Row],[Date 
du paiement]]="",IF(Tableau3453[[#This Row],[Jours]]&gt;Tableau3453[[#This Row],[Conditions
pmt+]]+5,"oui",""),"")</f>
        <v/>
      </c>
      <c r="D373" s="251" t="s">
        <v>964</v>
      </c>
      <c r="E373" s="240">
        <v>45442</v>
      </c>
      <c r="F373" s="241">
        <v>1718.4</v>
      </c>
      <c r="G373" s="242" t="str">
        <f>IF(Tableau3453[[#This Row],[Date 
du paiement]]="",Tableau3453[[#This Row],[Montant
de la facture
CHF]],"")</f>
        <v/>
      </c>
      <c r="H373" s="243"/>
      <c r="I373" s="245">
        <v>45443</v>
      </c>
      <c r="J373" s="246">
        <v>45474</v>
      </c>
      <c r="K373" s="247" t="s">
        <v>58</v>
      </c>
      <c r="L373" s="248"/>
      <c r="M373" s="248">
        <f>IF(Tableau3453[[#This Row],[Date 
du paiement]]="",$D$4-Tableau3453[[#This Row],[Date
de la facture]],Tableau3453[[#This Row],[Date 
du paiement]]-Tableau3453[[#This Row],[Date
de la facture]])</f>
        <v>32</v>
      </c>
      <c r="N373" s="241" t="str">
        <f>IF(Tableau3453[[#This Row],[Date 
du paiement]]="",IF(Tableau3453[[#This Row],[Jours]]&lt;30,Tableau3453[[#This Row],[Montant
de la facture
CHF]],""),"")</f>
        <v/>
      </c>
      <c r="O373" s="241" t="str">
        <f>IF(Tableau3453[[#This Row],[Date 
du paiement]]="",IF(Tableau3453[[#This Row],[Jours]]&gt;30,IF(Tableau3453[[#This Row],[Jours]]&lt;60,Tableau3453[[#This Row],[Montant
de la facture
CHF]],""),""),"")</f>
        <v/>
      </c>
      <c r="P373" s="241" t="str">
        <f>IF(Tableau3453[[#This Row],[Date 
du paiement]]="",IF(Tableau3453[[#This Row],[Jours]]&gt;60,Tableau3453[[#This Row],[Montant
de la facture
CHF]],""),"")</f>
        <v/>
      </c>
      <c r="Q373" s="249"/>
      <c r="R373" s="250" t="str">
        <f>Tableau3453[[#This Row],[Solde 
ouverte
fm]]</f>
        <v/>
      </c>
      <c r="S37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4" spans="1:19" hidden="1" outlineLevel="1" x14ac:dyDescent="0.25">
      <c r="A374" s="238">
        <v>240471</v>
      </c>
      <c r="B374" s="239" t="s">
        <v>860</v>
      </c>
      <c r="C374" s="352" t="str">
        <f>IF(Tableau3453[[#This Row],[Date 
du paiement]]="",IF(Tableau3453[[#This Row],[Jours]]&gt;Tableau3453[[#This Row],[Conditions
pmt+]]+5,"oui",""),"")</f>
        <v/>
      </c>
      <c r="D374" s="251" t="s">
        <v>987</v>
      </c>
      <c r="E374" s="240">
        <v>45442</v>
      </c>
      <c r="F374" s="241">
        <v>4124.3999999999996</v>
      </c>
      <c r="G374" s="242" t="str">
        <f>IF(Tableau3453[[#This Row],[Date 
du paiement]]="",Tableau3453[[#This Row],[Montant
de la facture
CHF]],"")</f>
        <v/>
      </c>
      <c r="H374" s="243"/>
      <c r="I374" s="245">
        <v>45443</v>
      </c>
      <c r="J374" s="246">
        <v>45471</v>
      </c>
      <c r="K374" s="247" t="s">
        <v>58</v>
      </c>
      <c r="L374" s="248"/>
      <c r="M374" s="248">
        <f>IF(Tableau3453[[#This Row],[Date 
du paiement]]="",$D$4-Tableau3453[[#This Row],[Date
de la facture]],Tableau3453[[#This Row],[Date 
du paiement]]-Tableau3453[[#This Row],[Date
de la facture]])</f>
        <v>29</v>
      </c>
      <c r="N374" s="241" t="str">
        <f>IF(Tableau3453[[#This Row],[Date 
du paiement]]="",IF(Tableau3453[[#This Row],[Jours]]&lt;30,Tableau3453[[#This Row],[Montant
de la facture
CHF]],""),"")</f>
        <v/>
      </c>
      <c r="O374" s="241" t="str">
        <f>IF(Tableau3453[[#This Row],[Date 
du paiement]]="",IF(Tableau3453[[#This Row],[Jours]]&gt;30,IF(Tableau3453[[#This Row],[Jours]]&lt;60,Tableau3453[[#This Row],[Montant
de la facture
CHF]],""),""),"")</f>
        <v/>
      </c>
      <c r="P374" s="241" t="str">
        <f>IF(Tableau3453[[#This Row],[Date 
du paiement]]="",IF(Tableau3453[[#This Row],[Jours]]&gt;60,Tableau3453[[#This Row],[Montant
de la facture
CHF]],""),"")</f>
        <v/>
      </c>
      <c r="Q374" s="249"/>
      <c r="R374" s="250" t="str">
        <f>Tableau3453[[#This Row],[Solde 
ouverte
fm]]</f>
        <v/>
      </c>
      <c r="S3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5" spans="1:19" hidden="1" outlineLevel="1" x14ac:dyDescent="0.25">
      <c r="A375" s="268">
        <v>240537</v>
      </c>
      <c r="B375" s="239">
        <v>30</v>
      </c>
      <c r="C375" s="352" t="str">
        <f>IF(Tableau3453[[#This Row],[Date 
du paiement]]="",IF(Tableau3453[[#This Row],[Jours]]&gt;Tableau3453[[#This Row],[Conditions
pmt+]]+5,"oui",""),"")</f>
        <v/>
      </c>
      <c r="D375" s="262" t="s">
        <v>929</v>
      </c>
      <c r="E375" s="240">
        <v>45492</v>
      </c>
      <c r="F375" s="263">
        <v>3826.9</v>
      </c>
      <c r="G375" s="242" t="str">
        <f>IF(Tableau3453[[#This Row],[Date 
du paiement]]="",Tableau3453[[#This Row],[Montant
de la facture
CHF]],"")</f>
        <v/>
      </c>
      <c r="H375" s="243"/>
      <c r="I375" s="245">
        <v>45492</v>
      </c>
      <c r="J375" s="246">
        <v>45504</v>
      </c>
      <c r="K375" s="247" t="s">
        <v>58</v>
      </c>
      <c r="L375" s="264"/>
      <c r="M375" s="265">
        <f>IF(Tableau3453[[#This Row],[Date 
du paiement]]="",$D$4-Tableau3453[[#This Row],[Date
de la facture]],Tableau3453[[#This Row],[Date 
du paiement]]-Tableau3453[[#This Row],[Date
de la facture]])</f>
        <v>12</v>
      </c>
      <c r="N375" s="263" t="str">
        <f>IF(Tableau3453[[#This Row],[Date 
du paiement]]="",IF(Tableau3453[[#This Row],[Jours]]&lt;30,Tableau3453[[#This Row],[Montant
de la facture
CHF]],""),"")</f>
        <v/>
      </c>
      <c r="O375" s="263" t="str">
        <f>IF(Tableau3453[[#This Row],[Date 
du paiement]]="",IF(Tableau3453[[#This Row],[Jours]]&gt;30,IF(Tableau3453[[#This Row],[Jours]]&lt;60,Tableau3453[[#This Row],[Montant
de la facture
CHF]],""),""),"")</f>
        <v/>
      </c>
      <c r="P375" s="263" t="str">
        <f>IF(Tableau3453[[#This Row],[Date 
du paiement]]="",IF(Tableau3453[[#This Row],[Jours]]&gt;60,Tableau3453[[#This Row],[Montant
de la facture
CHF]],""),"")</f>
        <v/>
      </c>
      <c r="Q375" s="266"/>
      <c r="R375" s="267" t="str">
        <f>Tableau3453[[#This Row],[Solde 
ouverte
fm]]</f>
        <v/>
      </c>
      <c r="S37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6" spans="1:19" hidden="1" outlineLevel="1" x14ac:dyDescent="0.25">
      <c r="A376" s="238">
        <v>240417</v>
      </c>
      <c r="B376" s="239" t="s">
        <v>860</v>
      </c>
      <c r="C376" s="352" t="str">
        <f>IF(Tableau3453[[#This Row],[Date 
du paiement]]="",IF(Tableau3453[[#This Row],[Jours]]&gt;Tableau3453[[#This Row],[Conditions
pmt+]]+5,"oui",""),"")</f>
        <v/>
      </c>
      <c r="D376" s="251" t="s">
        <v>1167</v>
      </c>
      <c r="E376" s="240">
        <v>45442</v>
      </c>
      <c r="F376" s="241">
        <v>162.15</v>
      </c>
      <c r="G376" s="242" t="str">
        <f>IF(Tableau3453[[#This Row],[Date 
du paiement]]="",Tableau3453[[#This Row],[Montant
de la facture
CHF]],"")</f>
        <v/>
      </c>
      <c r="H376" s="243" t="s">
        <v>1168</v>
      </c>
      <c r="I376" s="245">
        <v>45443</v>
      </c>
      <c r="J376" s="246">
        <v>45484</v>
      </c>
      <c r="K376" s="247" t="s">
        <v>58</v>
      </c>
      <c r="L376" s="248">
        <v>1</v>
      </c>
      <c r="M376" s="248">
        <f>IF(Tableau3453[[#This Row],[Date 
du paiement]]="",$D$4-Tableau3453[[#This Row],[Date
de la facture]],Tableau3453[[#This Row],[Date 
du paiement]]-Tableau3453[[#This Row],[Date
de la facture]])</f>
        <v>42</v>
      </c>
      <c r="N376" s="241" t="str">
        <f>IF(Tableau3453[[#This Row],[Date 
du paiement]]="",IF(Tableau3453[[#This Row],[Jours]]&lt;30,Tableau3453[[#This Row],[Montant
de la facture
CHF]],""),"")</f>
        <v/>
      </c>
      <c r="O376" s="241" t="str">
        <f>IF(Tableau3453[[#This Row],[Date 
du paiement]]="",IF(Tableau3453[[#This Row],[Jours]]&gt;30,IF(Tableau3453[[#This Row],[Jours]]&lt;60,Tableau3453[[#This Row],[Montant
de la facture
CHF]],""),""),"")</f>
        <v/>
      </c>
      <c r="P376" s="241" t="str">
        <f>IF(Tableau3453[[#This Row],[Date 
du paiement]]="",IF(Tableau3453[[#This Row],[Jours]]&gt;60,Tableau3453[[#This Row],[Montant
de la facture
CHF]],""),"")</f>
        <v/>
      </c>
      <c r="Q376" s="249"/>
      <c r="R376" s="250" t="str">
        <f>Tableau3453[[#This Row],[Solde 
ouverte
fm]]</f>
        <v/>
      </c>
      <c r="S37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7" spans="1:19" hidden="1" outlineLevel="1" x14ac:dyDescent="0.25">
      <c r="A377" s="252">
        <v>240516</v>
      </c>
      <c r="B377" s="239" t="s">
        <v>860</v>
      </c>
      <c r="C377" s="352" t="str">
        <f>IF(Tableau3453[[#This Row],[Date 
du paiement]]="",IF(Tableau3453[[#This Row],[Jours]]&gt;Tableau3453[[#This Row],[Conditions
pmt+]]+5,"oui",""),"")</f>
        <v/>
      </c>
      <c r="D377" s="253" t="s">
        <v>863</v>
      </c>
      <c r="E377" s="254">
        <v>45443</v>
      </c>
      <c r="F377" s="241">
        <v>4935.1000000000004</v>
      </c>
      <c r="G377" s="242" t="str">
        <f>IF(Tableau3453[[#This Row],[Date 
du paiement]]="",Tableau3453[[#This Row],[Montant
de la facture
CHF]],"")</f>
        <v/>
      </c>
      <c r="H377" s="243"/>
      <c r="I377" s="245">
        <v>45446</v>
      </c>
      <c r="J377" s="246">
        <v>45477</v>
      </c>
      <c r="K377" s="247" t="s">
        <v>58</v>
      </c>
      <c r="L377" s="248"/>
      <c r="M377" s="248">
        <f>IF(Tableau3453[[#This Row],[Date 
du paiement]]="",$D$4-Tableau3453[[#This Row],[Date
de la facture]],Tableau3453[[#This Row],[Date 
du paiement]]-Tableau3453[[#This Row],[Date
de la facture]])</f>
        <v>34</v>
      </c>
      <c r="N377" s="241" t="str">
        <f>IF(Tableau3453[[#This Row],[Date 
du paiement]]="",IF(Tableau3453[[#This Row],[Jours]]&lt;30,Tableau3453[[#This Row],[Montant
de la facture
CHF]],""),"")</f>
        <v/>
      </c>
      <c r="O377" s="241" t="str">
        <f>IF(Tableau3453[[#This Row],[Date 
du paiement]]="",IF(Tableau3453[[#This Row],[Jours]]&gt;30,IF(Tableau3453[[#This Row],[Jours]]&lt;60,Tableau3453[[#This Row],[Montant
de la facture
CHF]],""),""),"")</f>
        <v/>
      </c>
      <c r="P377" s="241" t="str">
        <f>IF(Tableau3453[[#This Row],[Date 
du paiement]]="",IF(Tableau3453[[#This Row],[Jours]]&gt;60,Tableau3453[[#This Row],[Montant
de la facture
CHF]],""),"")</f>
        <v/>
      </c>
      <c r="Q377" s="249"/>
      <c r="R377" s="250" t="str">
        <f>Tableau3453[[#This Row],[Solde 
ouverte
fm]]</f>
        <v/>
      </c>
      <c r="S37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8" spans="1:19" hidden="1" outlineLevel="1" x14ac:dyDescent="0.25">
      <c r="A378" s="238">
        <v>240556</v>
      </c>
      <c r="B378" s="239" t="s">
        <v>860</v>
      </c>
      <c r="C378" s="352" t="str">
        <f>IF(Tableau3453[[#This Row],[Date 
du paiement]]="",IF(Tableau3453[[#This Row],[Jours]]&gt;Tableau3453[[#This Row],[Conditions
pmt+]]+5,"oui",""),"")</f>
        <v/>
      </c>
      <c r="D378" s="251" t="s">
        <v>866</v>
      </c>
      <c r="E378" s="240">
        <v>45453</v>
      </c>
      <c r="F378" s="263">
        <v>215.35</v>
      </c>
      <c r="G378" s="242" t="str">
        <f>IF(Tableau3453[[#This Row],[Date 
du paiement]]="",Tableau3453[[#This Row],[Montant
de la facture
CHF]],"")</f>
        <v/>
      </c>
      <c r="H378" s="243"/>
      <c r="I378" s="245">
        <v>45453</v>
      </c>
      <c r="J378" s="246">
        <v>45478</v>
      </c>
      <c r="K378" s="247" t="s">
        <v>58</v>
      </c>
      <c r="L378" s="248"/>
      <c r="M378" s="248">
        <f>IF(Tableau3453[[#This Row],[Date 
du paiement]]="",$D$4-Tableau3453[[#This Row],[Date
de la facture]],Tableau3453[[#This Row],[Date 
du paiement]]-Tableau3453[[#This Row],[Date
de la facture]])</f>
        <v>25</v>
      </c>
      <c r="N378" s="241" t="str">
        <f>IF(Tableau3453[[#This Row],[Date 
du paiement]]="",IF(Tableau3453[[#This Row],[Jours]]&lt;30,Tableau3453[[#This Row],[Montant
de la facture
CHF]],""),"")</f>
        <v/>
      </c>
      <c r="O378" s="241" t="str">
        <f>IF(Tableau3453[[#This Row],[Date 
du paiement]]="",IF(Tableau3453[[#This Row],[Jours]]&gt;30,IF(Tableau3453[[#This Row],[Jours]]&lt;60,Tableau3453[[#This Row],[Montant
de la facture
CHF]],""),""),"")</f>
        <v/>
      </c>
      <c r="P378" s="241" t="str">
        <f>IF(Tableau3453[[#This Row],[Date 
du paiement]]="",IF(Tableau3453[[#This Row],[Jours]]&gt;60,Tableau3453[[#This Row],[Montant
de la facture
CHF]],""),"")</f>
        <v/>
      </c>
      <c r="Q378" s="249"/>
      <c r="R378" s="250" t="str">
        <f>Tableau3453[[#This Row],[Solde 
ouverte
fm]]</f>
        <v/>
      </c>
      <c r="S37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79" spans="1:19" hidden="1" outlineLevel="1" x14ac:dyDescent="0.25">
      <c r="A379" s="238">
        <v>240533</v>
      </c>
      <c r="B379" s="239" t="s">
        <v>857</v>
      </c>
      <c r="C379" s="352" t="str">
        <f>IF(Tableau3453[[#This Row],[Date 
du paiement]]="",IF(Tableau3453[[#This Row],[Jours]]&gt;Tableau3453[[#This Row],[Conditions
pmt+]]+5,"oui",""),"")</f>
        <v/>
      </c>
      <c r="D379" s="262" t="s">
        <v>1392</v>
      </c>
      <c r="E379" s="240">
        <v>45442</v>
      </c>
      <c r="F379" s="263">
        <v>314.85000000000002</v>
      </c>
      <c r="G379" s="242" t="str">
        <f>IF(Tableau3453[[#This Row],[Date 
du paiement]]="",Tableau3453[[#This Row],[Montant
de la facture
CHF]],"")</f>
        <v/>
      </c>
      <c r="H379" s="258" t="s">
        <v>1347</v>
      </c>
      <c r="I379" s="245">
        <v>45443</v>
      </c>
      <c r="J379" s="246">
        <v>45537</v>
      </c>
      <c r="K379" s="247" t="s">
        <v>58</v>
      </c>
      <c r="L379" s="248">
        <v>4</v>
      </c>
      <c r="M379" s="248">
        <f>IF(Tableau3453[[#This Row],[Date 
du paiement]]="",$D$4-Tableau3453[[#This Row],[Date
de la facture]],Tableau3453[[#This Row],[Date 
du paiement]]-Tableau3453[[#This Row],[Date
de la facture]])</f>
        <v>95</v>
      </c>
      <c r="N379" s="241" t="str">
        <f>IF(Tableau3453[[#This Row],[Date 
du paiement]]="",IF(Tableau3453[[#This Row],[Jours]]&lt;30,Tableau3453[[#This Row],[Montant
de la facture
CHF]],""),"")</f>
        <v/>
      </c>
      <c r="O379" s="241" t="str">
        <f>IF(Tableau3453[[#This Row],[Date 
du paiement]]="",IF(Tableau3453[[#This Row],[Jours]]&gt;30,IF(Tableau3453[[#This Row],[Jours]]&lt;60,Tableau3453[[#This Row],[Montant
de la facture
CHF]],""),""),"")</f>
        <v/>
      </c>
      <c r="P379" s="241" t="str">
        <f>IF(Tableau3453[[#This Row],[Date 
du paiement]]="",IF(Tableau3453[[#This Row],[Jours]]&gt;60,Tableau3453[[#This Row],[Montant
de la facture
CHF]],""),"")</f>
        <v/>
      </c>
      <c r="Q379" s="249" t="s">
        <v>1405</v>
      </c>
      <c r="R379" s="250" t="str">
        <f>Tableau3453[[#This Row],[Solde 
ouverte
fm]]</f>
        <v/>
      </c>
      <c r="S37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0" spans="1:19" hidden="1" outlineLevel="1" x14ac:dyDescent="0.25">
      <c r="A380" s="238">
        <v>11</v>
      </c>
      <c r="B380" s="239" t="s">
        <v>860</v>
      </c>
      <c r="C380" s="352" t="str">
        <f>IF(Tableau3453[[#This Row],[Date 
du paiement]]="",IF(Tableau3453[[#This Row],[Jours]]&gt;Tableau3453[[#This Row],[Conditions
pmt+]]+5,"oui",""),"")</f>
        <v/>
      </c>
      <c r="D380" s="251" t="s">
        <v>1016</v>
      </c>
      <c r="E380" s="240">
        <v>45376</v>
      </c>
      <c r="F380" s="263">
        <v>-511.6</v>
      </c>
      <c r="G380" s="242" t="str">
        <f>IF(Tableau3453[[#This Row],[Date 
du paiement]]="",Tableau3453[[#This Row],[Montant
de la facture
CHF]],"")</f>
        <v/>
      </c>
      <c r="H380" s="243" t="s">
        <v>1296</v>
      </c>
      <c r="I380" s="245">
        <v>45377</v>
      </c>
      <c r="J380" s="246">
        <v>45525</v>
      </c>
      <c r="K380" s="247" t="s">
        <v>58</v>
      </c>
      <c r="L380" s="248"/>
      <c r="M380" s="248">
        <f>IF(Tableau3453[[#This Row],[Date 
du paiement]]="",$D$4-Tableau3453[[#This Row],[Date
de la facture]],Tableau3453[[#This Row],[Date 
du paiement]]-Tableau3453[[#This Row],[Date
de la facture]])</f>
        <v>149</v>
      </c>
      <c r="N380" s="241" t="str">
        <f>IF(Tableau3453[[#This Row],[Date 
du paiement]]="",IF(Tableau3453[[#This Row],[Jours]]&lt;30,Tableau3453[[#This Row],[Montant
de la facture
CHF]],""),"")</f>
        <v/>
      </c>
      <c r="O380" s="241" t="str">
        <f>IF(Tableau3453[[#This Row],[Date 
du paiement]]="",IF(Tableau3453[[#This Row],[Jours]]&gt;30,IF(Tableau3453[[#This Row],[Jours]]&lt;60,Tableau3453[[#This Row],[Montant
de la facture
CHF]],""),""),"")</f>
        <v/>
      </c>
      <c r="P380" s="241" t="str">
        <f>IF(Tableau3453[[#This Row],[Date 
du paiement]]="",IF(Tableau3453[[#This Row],[Jours]]&gt;60,Tableau3453[[#This Row],[Montant
de la facture
CHF]],""),"")</f>
        <v/>
      </c>
      <c r="Q380" s="249"/>
      <c r="R380" s="250" t="str">
        <f>Tableau3453[[#This Row],[Solde 
ouverte
fm]]</f>
        <v/>
      </c>
      <c r="S38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1" spans="1:19" hidden="1" outlineLevel="1" x14ac:dyDescent="0.25">
      <c r="A381" s="238">
        <v>240554</v>
      </c>
      <c r="B381" s="239" t="s">
        <v>870</v>
      </c>
      <c r="C381" s="352" t="str">
        <f>IF(Tableau3453[[#This Row],[Date 
du paiement]]="",IF(Tableau3453[[#This Row],[Jours]]&gt;Tableau3453[[#This Row],[Conditions
pmt+]]+5,"oui",""),"")</f>
        <v/>
      </c>
      <c r="D381" s="251" t="s">
        <v>871</v>
      </c>
      <c r="E381" s="240">
        <v>45444</v>
      </c>
      <c r="F381" s="263">
        <v>721.9</v>
      </c>
      <c r="G381" s="242" t="str">
        <f>IF(Tableau3453[[#This Row],[Date 
du paiement]]="",Tableau3453[[#This Row],[Montant
de la facture
CHF]],"")</f>
        <v/>
      </c>
      <c r="H381" s="243" t="s">
        <v>1028</v>
      </c>
      <c r="I381" s="245">
        <v>45446</v>
      </c>
      <c r="J381" s="246">
        <v>45450</v>
      </c>
      <c r="K381" s="247" t="s">
        <v>58</v>
      </c>
      <c r="L381" s="248">
        <v>1</v>
      </c>
      <c r="M381" s="248">
        <f>IF(Tableau3453[[#This Row],[Date 
du paiement]]="",$D$4-Tableau3453[[#This Row],[Date
de la facture]],Tableau3453[[#This Row],[Date 
du paiement]]-Tableau3453[[#This Row],[Date
de la facture]])</f>
        <v>6</v>
      </c>
      <c r="N381" s="241" t="str">
        <f>IF(Tableau3453[[#This Row],[Date 
du paiement]]="",IF(Tableau3453[[#This Row],[Jours]]&lt;30,Tableau3453[[#This Row],[Montant
de la facture
CHF]],""),"")</f>
        <v/>
      </c>
      <c r="O381" s="241" t="str">
        <f>IF(Tableau3453[[#This Row],[Date 
du paiement]]="",IF(Tableau3453[[#This Row],[Jours]]&gt;30,IF(Tableau3453[[#This Row],[Jours]]&lt;60,Tableau3453[[#This Row],[Montant
de la facture
CHF]],""),""),"")</f>
        <v/>
      </c>
      <c r="P381" s="241" t="str">
        <f>IF(Tableau3453[[#This Row],[Date 
du paiement]]="",IF(Tableau3453[[#This Row],[Jours]]&gt;60,Tableau3453[[#This Row],[Montant
de la facture
CHF]],""),"")</f>
        <v/>
      </c>
      <c r="Q381" s="249"/>
      <c r="R381" s="250" t="str">
        <f>Tableau3453[[#This Row],[Solde 
ouverte
fm]]</f>
        <v/>
      </c>
      <c r="S38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2" spans="1:19" hidden="1" outlineLevel="1" x14ac:dyDescent="0.25">
      <c r="A382" s="238">
        <v>240550</v>
      </c>
      <c r="B382" s="239" t="s">
        <v>860</v>
      </c>
      <c r="C382" s="352" t="str">
        <f>IF(Tableau3453[[#This Row],[Date 
du paiement]]="",IF(Tableau3453[[#This Row],[Jours]]&gt;Tableau3453[[#This Row],[Conditions
pmt+]]+5,"oui",""),"")</f>
        <v/>
      </c>
      <c r="D382" s="238" t="s">
        <v>880</v>
      </c>
      <c r="E382" s="240">
        <v>45446</v>
      </c>
      <c r="F382" s="263">
        <v>5690.95</v>
      </c>
      <c r="G382" s="242" t="str">
        <f>IF(Tableau3453[[#This Row],[Date 
du paiement]]="",Tableau3453[[#This Row],[Montant
de la facture
CHF]],"")</f>
        <v/>
      </c>
      <c r="H382" s="243"/>
      <c r="I382" s="245">
        <v>45446</v>
      </c>
      <c r="J382" s="246">
        <v>45471</v>
      </c>
      <c r="K382" s="247" t="s">
        <v>58</v>
      </c>
      <c r="L382" s="248"/>
      <c r="M382" s="248">
        <f>IF(Tableau3453[[#This Row],[Date 
du paiement]]="",$D$4-Tableau3453[[#This Row],[Date
de la facture]],Tableau3453[[#This Row],[Date 
du paiement]]-Tableau3453[[#This Row],[Date
de la facture]])</f>
        <v>25</v>
      </c>
      <c r="N382" s="241" t="str">
        <f>IF(Tableau3453[[#This Row],[Date 
du paiement]]="",IF(Tableau3453[[#This Row],[Jours]]&lt;30,Tableau3453[[#This Row],[Montant
de la facture
CHF]],""),"")</f>
        <v/>
      </c>
      <c r="O382" s="241" t="str">
        <f>IF(Tableau3453[[#This Row],[Date 
du paiement]]="",IF(Tableau3453[[#This Row],[Jours]]&gt;30,IF(Tableau3453[[#This Row],[Jours]]&lt;60,Tableau3453[[#This Row],[Montant
de la facture
CHF]],""),""),"")</f>
        <v/>
      </c>
      <c r="P382" s="241" t="str">
        <f>IF(Tableau3453[[#This Row],[Date 
du paiement]]="",IF(Tableau3453[[#This Row],[Jours]]&gt;60,Tableau3453[[#This Row],[Montant
de la facture
CHF]],""),"")</f>
        <v/>
      </c>
      <c r="Q382" s="249"/>
      <c r="R382" s="250" t="str">
        <f>Tableau3453[[#This Row],[Solde 
ouverte
fm]]</f>
        <v/>
      </c>
      <c r="S3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3" spans="1:19" hidden="1" outlineLevel="1" x14ac:dyDescent="0.25">
      <c r="A383" s="268">
        <v>240643</v>
      </c>
      <c r="B383" s="239">
        <v>30</v>
      </c>
      <c r="C383" s="352" t="str">
        <f>IF(Tableau3453[[#This Row],[Date 
du paiement]]="",IF(Tableau3453[[#This Row],[Jours]]&gt;Tableau3453[[#This Row],[Conditions
pmt+]]+5,"oui",""),"")</f>
        <v/>
      </c>
      <c r="D383" s="262" t="s">
        <v>863</v>
      </c>
      <c r="E383" s="240">
        <v>45476</v>
      </c>
      <c r="F383" s="263">
        <v>2666.95</v>
      </c>
      <c r="G383" s="242" t="str">
        <f>IF(Tableau3453[[#This Row],[Date 
du paiement]]="",Tableau3453[[#This Row],[Montant
de la facture
CHF]],"")</f>
        <v/>
      </c>
      <c r="H383" s="243"/>
      <c r="I383" s="245">
        <v>45477</v>
      </c>
      <c r="J383" s="246">
        <v>45513</v>
      </c>
      <c r="K383" s="247" t="s">
        <v>58</v>
      </c>
      <c r="L383" s="248">
        <v>1</v>
      </c>
      <c r="M383" s="265">
        <f>IF(Tableau3453[[#This Row],[Date 
du paiement]]="",$D$4-Tableau3453[[#This Row],[Date
de la facture]],Tableau3453[[#This Row],[Date 
du paiement]]-Tableau3453[[#This Row],[Date
de la facture]])</f>
        <v>37</v>
      </c>
      <c r="N383" s="263" t="str">
        <f>IF(Tableau3453[[#This Row],[Date 
du paiement]]="",IF(Tableau3453[[#This Row],[Jours]]&lt;30,Tableau3453[[#This Row],[Montant
de la facture
CHF]],""),"")</f>
        <v/>
      </c>
      <c r="O383" s="263" t="str">
        <f>IF(Tableau3453[[#This Row],[Date 
du paiement]]="",IF(Tableau3453[[#This Row],[Jours]]&gt;30,IF(Tableau3453[[#This Row],[Jours]]&lt;60,Tableau3453[[#This Row],[Montant
de la facture
CHF]],""),""),"")</f>
        <v/>
      </c>
      <c r="P383" s="263" t="str">
        <f>IF(Tableau3453[[#This Row],[Date 
du paiement]]="",IF(Tableau3453[[#This Row],[Jours]]&gt;60,Tableau3453[[#This Row],[Montant
de la facture
CHF]],""),"")</f>
        <v/>
      </c>
      <c r="Q383" s="266"/>
      <c r="R383" s="267" t="str">
        <f>Tableau3453[[#This Row],[Solde 
ouverte
fm]]</f>
        <v/>
      </c>
      <c r="S3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4" spans="1:19" hidden="1" outlineLevel="1" x14ac:dyDescent="0.25">
      <c r="A384" s="238">
        <v>240410</v>
      </c>
      <c r="B384" s="239" t="s">
        <v>860</v>
      </c>
      <c r="C384" s="352" t="str">
        <f>IF(Tableau3453[[#This Row],[Date 
du paiement]]="",IF(Tableau3453[[#This Row],[Jours]]&gt;Tableau3453[[#This Row],[Conditions
pmt+]]+5,"oui",""),"")</f>
        <v/>
      </c>
      <c r="D384" s="251" t="s">
        <v>960</v>
      </c>
      <c r="E384" s="240">
        <v>45447</v>
      </c>
      <c r="F384" s="263">
        <v>591.1</v>
      </c>
      <c r="G384" s="242" t="str">
        <f>IF(Tableau3453[[#This Row],[Date 
du paiement]]="",Tableau3453[[#This Row],[Montant
de la facture
CHF]],"")</f>
        <v/>
      </c>
      <c r="H384" s="243"/>
      <c r="I384" s="245">
        <v>45449</v>
      </c>
      <c r="J384" s="246">
        <v>45477</v>
      </c>
      <c r="K384" s="247" t="s">
        <v>58</v>
      </c>
      <c r="L384" s="248"/>
      <c r="M384" s="248">
        <f>IF(Tableau3453[[#This Row],[Date 
du paiement]]="",$D$4-Tableau3453[[#This Row],[Date
de la facture]],Tableau3453[[#This Row],[Date 
du paiement]]-Tableau3453[[#This Row],[Date
de la facture]])</f>
        <v>30</v>
      </c>
      <c r="N384" s="241" t="str">
        <f>IF(Tableau3453[[#This Row],[Date 
du paiement]]="",IF(Tableau3453[[#This Row],[Jours]]&lt;30,Tableau3453[[#This Row],[Montant
de la facture
CHF]],""),"")</f>
        <v/>
      </c>
      <c r="O384" s="241" t="str">
        <f>IF(Tableau3453[[#This Row],[Date 
du paiement]]="",IF(Tableau3453[[#This Row],[Jours]]&gt;30,IF(Tableau3453[[#This Row],[Jours]]&lt;60,Tableau3453[[#This Row],[Montant
de la facture
CHF]],""),""),"")</f>
        <v/>
      </c>
      <c r="P384" s="241" t="str">
        <f>IF(Tableau3453[[#This Row],[Date 
du paiement]]="",IF(Tableau3453[[#This Row],[Jours]]&gt;60,Tableau3453[[#This Row],[Montant
de la facture
CHF]],""),"")</f>
        <v/>
      </c>
      <c r="Q384" s="249"/>
      <c r="R384" s="250" t="str">
        <f>Tableau3453[[#This Row],[Solde 
ouverte
fm]]</f>
        <v/>
      </c>
      <c r="S38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5" spans="1:19" hidden="1" outlineLevel="1" x14ac:dyDescent="0.25">
      <c r="A385" s="238">
        <v>240393</v>
      </c>
      <c r="B385" s="239" t="s">
        <v>860</v>
      </c>
      <c r="C385" s="352" t="str">
        <f>IF(Tableau3453[[#This Row],[Date 
du paiement]]="",IF(Tableau3453[[#This Row],[Jours]]&gt;Tableau3453[[#This Row],[Conditions
pmt+]]+5,"oui",""),"")</f>
        <v/>
      </c>
      <c r="D385" s="251" t="s">
        <v>1016</v>
      </c>
      <c r="E385" s="240">
        <v>45448</v>
      </c>
      <c r="F385" s="263">
        <v>4262.55</v>
      </c>
      <c r="G385" s="242" t="str">
        <f>IF(Tableau3453[[#This Row],[Date 
du paiement]]="",Tableau3453[[#This Row],[Montant
de la facture
CHF]],"")</f>
        <v/>
      </c>
      <c r="H385" s="243"/>
      <c r="I385" s="245">
        <v>45449</v>
      </c>
      <c r="J385" s="246">
        <v>45476</v>
      </c>
      <c r="K385" s="247" t="s">
        <v>58</v>
      </c>
      <c r="L385" s="248"/>
      <c r="M385" s="248">
        <f>IF(Tableau3453[[#This Row],[Date 
du paiement]]="",$D$4-Tableau3453[[#This Row],[Date
de la facture]],Tableau3453[[#This Row],[Date 
du paiement]]-Tableau3453[[#This Row],[Date
de la facture]])</f>
        <v>28</v>
      </c>
      <c r="N385" s="241" t="str">
        <f>IF(Tableau3453[[#This Row],[Date 
du paiement]]="",IF(Tableau3453[[#This Row],[Jours]]&lt;30,Tableau3453[[#This Row],[Montant
de la facture
CHF]],""),"")</f>
        <v/>
      </c>
      <c r="O385" s="241" t="str">
        <f>IF(Tableau3453[[#This Row],[Date 
du paiement]]="",IF(Tableau3453[[#This Row],[Jours]]&gt;30,IF(Tableau3453[[#This Row],[Jours]]&lt;60,Tableau3453[[#This Row],[Montant
de la facture
CHF]],""),""),"")</f>
        <v/>
      </c>
      <c r="P385" s="241" t="str">
        <f>IF(Tableau3453[[#This Row],[Date 
du paiement]]="",IF(Tableau3453[[#This Row],[Jours]]&gt;60,Tableau3453[[#This Row],[Montant
de la facture
CHF]],""),"")</f>
        <v/>
      </c>
      <c r="Q385" s="249"/>
      <c r="R385" s="250" t="str">
        <f>Tableau3453[[#This Row],[Solde 
ouverte
fm]]</f>
        <v/>
      </c>
      <c r="S3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6" spans="1:19" hidden="1" outlineLevel="1" x14ac:dyDescent="0.25">
      <c r="A386" s="238">
        <v>240581</v>
      </c>
      <c r="B386" s="239" t="s">
        <v>860</v>
      </c>
      <c r="C386" s="352" t="str">
        <f>IF(Tableau3453[[#This Row],[Date 
du paiement]]="",IF(Tableau3453[[#This Row],[Jours]]&gt;Tableau3453[[#This Row],[Conditions
pmt+]]+5,"oui",""),"")</f>
        <v/>
      </c>
      <c r="D386" s="251" t="s">
        <v>862</v>
      </c>
      <c r="E386" s="240">
        <v>45449</v>
      </c>
      <c r="F386" s="263">
        <v>998.85</v>
      </c>
      <c r="G386" s="242" t="str">
        <f>IF(Tableau3453[[#This Row],[Date 
du paiement]]="",Tableau3453[[#This Row],[Montant
de la facture
CHF]],"")</f>
        <v/>
      </c>
      <c r="H386" s="243" t="s">
        <v>1110</v>
      </c>
      <c r="I386" s="245">
        <v>45460</v>
      </c>
      <c r="J386" s="246">
        <v>45471</v>
      </c>
      <c r="K386" s="247" t="s">
        <v>58</v>
      </c>
      <c r="L386" s="248"/>
      <c r="M386" s="248">
        <f>IF(Tableau3453[[#This Row],[Date 
du paiement]]="",$D$4-Tableau3453[[#This Row],[Date
de la facture]],Tableau3453[[#This Row],[Date 
du paiement]]-Tableau3453[[#This Row],[Date
de la facture]])</f>
        <v>22</v>
      </c>
      <c r="N386" s="241" t="str">
        <f>IF(Tableau3453[[#This Row],[Date 
du paiement]]="",IF(Tableau3453[[#This Row],[Jours]]&lt;30,Tableau3453[[#This Row],[Montant
de la facture
CHF]],""),"")</f>
        <v/>
      </c>
      <c r="O386" s="241" t="str">
        <f>IF(Tableau3453[[#This Row],[Date 
du paiement]]="",IF(Tableau3453[[#This Row],[Jours]]&gt;30,IF(Tableau3453[[#This Row],[Jours]]&lt;60,Tableau3453[[#This Row],[Montant
de la facture
CHF]],""),""),"")</f>
        <v/>
      </c>
      <c r="P386" s="241" t="str">
        <f>IF(Tableau3453[[#This Row],[Date 
du paiement]]="",IF(Tableau3453[[#This Row],[Jours]]&gt;60,Tableau3453[[#This Row],[Montant
de la facture
CHF]],""),"")</f>
        <v/>
      </c>
      <c r="Q386" s="249"/>
      <c r="R386" s="250" t="str">
        <f>Tableau3453[[#This Row],[Solde 
ouverte
fm]]</f>
        <v/>
      </c>
      <c r="S3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7" spans="1:19" hidden="1" outlineLevel="1" x14ac:dyDescent="0.25">
      <c r="A387" s="238">
        <v>240561</v>
      </c>
      <c r="B387" s="239" t="s">
        <v>860</v>
      </c>
      <c r="C387" s="352" t="str">
        <f>IF(Tableau3453[[#This Row],[Date 
du paiement]]="",IF(Tableau3453[[#This Row],[Jours]]&gt;Tableau3453[[#This Row],[Conditions
pmt+]]+5,"oui",""),"")</f>
        <v/>
      </c>
      <c r="D387" s="251" t="s">
        <v>880</v>
      </c>
      <c r="E387" s="240">
        <v>45449</v>
      </c>
      <c r="F387" s="263">
        <v>1692.15</v>
      </c>
      <c r="G387" s="242" t="str">
        <f>IF(Tableau3453[[#This Row],[Date 
du paiement]]="",Tableau3453[[#This Row],[Montant
de la facture
CHF]],"")</f>
        <v/>
      </c>
      <c r="H387" s="243"/>
      <c r="I387" s="245">
        <v>45449</v>
      </c>
      <c r="J387" s="246">
        <v>45475</v>
      </c>
      <c r="K387" s="247" t="s">
        <v>58</v>
      </c>
      <c r="L387" s="248"/>
      <c r="M387" s="248">
        <f>IF(Tableau3453[[#This Row],[Date 
du paiement]]="",$D$4-Tableau3453[[#This Row],[Date
de la facture]],Tableau3453[[#This Row],[Date 
du paiement]]-Tableau3453[[#This Row],[Date
de la facture]])</f>
        <v>26</v>
      </c>
      <c r="N387" s="241" t="str">
        <f>IF(Tableau3453[[#This Row],[Date 
du paiement]]="",IF(Tableau3453[[#This Row],[Jours]]&lt;30,Tableau3453[[#This Row],[Montant
de la facture
CHF]],""),"")</f>
        <v/>
      </c>
      <c r="O387" s="241" t="str">
        <f>IF(Tableau3453[[#This Row],[Date 
du paiement]]="",IF(Tableau3453[[#This Row],[Jours]]&gt;30,IF(Tableau3453[[#This Row],[Jours]]&lt;60,Tableau3453[[#This Row],[Montant
de la facture
CHF]],""),""),"")</f>
        <v/>
      </c>
      <c r="P387" s="241" t="str">
        <f>IF(Tableau3453[[#This Row],[Date 
du paiement]]="",IF(Tableau3453[[#This Row],[Jours]]&gt;60,Tableau3453[[#This Row],[Montant
de la facture
CHF]],""),"")</f>
        <v/>
      </c>
      <c r="Q387" s="249"/>
      <c r="R387" s="250" t="str">
        <f>Tableau3453[[#This Row],[Solde 
ouverte
fm]]</f>
        <v/>
      </c>
      <c r="S38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8" spans="1:19" hidden="1" outlineLevel="1" x14ac:dyDescent="0.25">
      <c r="A388" s="238">
        <v>240569</v>
      </c>
      <c r="B388" s="239" t="s">
        <v>860</v>
      </c>
      <c r="C388" s="352" t="str">
        <f>IF(Tableau3453[[#This Row],[Date 
du paiement]]="",IF(Tableau3453[[#This Row],[Jours]]&gt;Tableau3453[[#This Row],[Conditions
pmt+]]+5,"oui",""),"")</f>
        <v/>
      </c>
      <c r="D388" s="251" t="s">
        <v>880</v>
      </c>
      <c r="E388" s="240">
        <v>45449</v>
      </c>
      <c r="F388" s="263">
        <v>2424.15</v>
      </c>
      <c r="G388" s="242" t="str">
        <f>IF(Tableau3453[[#This Row],[Date 
du paiement]]="",Tableau3453[[#This Row],[Montant
de la facture
CHF]],"")</f>
        <v/>
      </c>
      <c r="H388" s="243"/>
      <c r="I388" s="245">
        <v>45454</v>
      </c>
      <c r="J388" s="246">
        <v>45475</v>
      </c>
      <c r="K388" s="247" t="s">
        <v>58</v>
      </c>
      <c r="L388" s="248"/>
      <c r="M388" s="248">
        <f>IF(Tableau3453[[#This Row],[Date 
du paiement]]="",$D$4-Tableau3453[[#This Row],[Date
de la facture]],Tableau3453[[#This Row],[Date 
du paiement]]-Tableau3453[[#This Row],[Date
de la facture]])</f>
        <v>26</v>
      </c>
      <c r="N388" s="241" t="str">
        <f>IF(Tableau3453[[#This Row],[Date 
du paiement]]="",IF(Tableau3453[[#This Row],[Jours]]&lt;30,Tableau3453[[#This Row],[Montant
de la facture
CHF]],""),"")</f>
        <v/>
      </c>
      <c r="O388" s="241" t="str">
        <f>IF(Tableau3453[[#This Row],[Date 
du paiement]]="",IF(Tableau3453[[#This Row],[Jours]]&gt;30,IF(Tableau3453[[#This Row],[Jours]]&lt;60,Tableau3453[[#This Row],[Montant
de la facture
CHF]],""),""),"")</f>
        <v/>
      </c>
      <c r="P388" s="241" t="str">
        <f>IF(Tableau3453[[#This Row],[Date 
du paiement]]="",IF(Tableau3453[[#This Row],[Jours]]&gt;60,Tableau3453[[#This Row],[Montant
de la facture
CHF]],""),"")</f>
        <v/>
      </c>
      <c r="Q388" s="249"/>
      <c r="R388" s="250" t="str">
        <f>Tableau3453[[#This Row],[Solde 
ouverte
fm]]</f>
        <v/>
      </c>
      <c r="S38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89" spans="1:19" hidden="1" outlineLevel="1" x14ac:dyDescent="0.25">
      <c r="A389" s="238">
        <v>240548</v>
      </c>
      <c r="B389" s="239" t="s">
        <v>860</v>
      </c>
      <c r="C389" s="352" t="str">
        <f>IF(Tableau3453[[#This Row],[Date 
du paiement]]="",IF(Tableau3453[[#This Row],[Jours]]&gt;Tableau3453[[#This Row],[Conditions
pmt+]]+5,"oui",""),"")</f>
        <v/>
      </c>
      <c r="D389" s="251" t="s">
        <v>880</v>
      </c>
      <c r="E389" s="240">
        <v>45449</v>
      </c>
      <c r="F389" s="263">
        <v>4216.3</v>
      </c>
      <c r="G389" s="242" t="str">
        <f>IF(Tableau3453[[#This Row],[Date 
du paiement]]="",Tableau3453[[#This Row],[Montant
de la facture
CHF]],"")</f>
        <v/>
      </c>
      <c r="H389" s="243"/>
      <c r="I389" s="245">
        <v>45454</v>
      </c>
      <c r="J389" s="246">
        <v>45475</v>
      </c>
      <c r="K389" s="247" t="s">
        <v>58</v>
      </c>
      <c r="L389" s="248"/>
      <c r="M389" s="248">
        <f>IF(Tableau3453[[#This Row],[Date 
du paiement]]="",$D$4-Tableau3453[[#This Row],[Date
de la facture]],Tableau3453[[#This Row],[Date 
du paiement]]-Tableau3453[[#This Row],[Date
de la facture]])</f>
        <v>26</v>
      </c>
      <c r="N389" s="241" t="str">
        <f>IF(Tableau3453[[#This Row],[Date 
du paiement]]="",IF(Tableau3453[[#This Row],[Jours]]&lt;30,Tableau3453[[#This Row],[Montant
de la facture
CHF]],""),"")</f>
        <v/>
      </c>
      <c r="O389" s="241" t="str">
        <f>IF(Tableau3453[[#This Row],[Date 
du paiement]]="",IF(Tableau3453[[#This Row],[Jours]]&gt;30,IF(Tableau3453[[#This Row],[Jours]]&lt;60,Tableau3453[[#This Row],[Montant
de la facture
CHF]],""),""),"")</f>
        <v/>
      </c>
      <c r="P389" s="241" t="str">
        <f>IF(Tableau3453[[#This Row],[Date 
du paiement]]="",IF(Tableau3453[[#This Row],[Jours]]&gt;60,Tableau3453[[#This Row],[Montant
de la facture
CHF]],""),"")</f>
        <v/>
      </c>
      <c r="Q389" s="249"/>
      <c r="R389" s="250" t="str">
        <f>Tableau3453[[#This Row],[Solde 
ouverte
fm]]</f>
        <v/>
      </c>
      <c r="S38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0" spans="1:19" hidden="1" outlineLevel="1" x14ac:dyDescent="0.25">
      <c r="A390" s="238">
        <v>240552</v>
      </c>
      <c r="B390" s="239" t="s">
        <v>860</v>
      </c>
      <c r="C390" s="352" t="str">
        <f>IF(Tableau3453[[#This Row],[Date 
du paiement]]="",IF(Tableau3453[[#This Row],[Jours]]&gt;Tableau3453[[#This Row],[Conditions
pmt+]]+5,"oui",""),"")</f>
        <v/>
      </c>
      <c r="D390" s="251" t="s">
        <v>880</v>
      </c>
      <c r="E390" s="240">
        <v>45449</v>
      </c>
      <c r="F390" s="263">
        <v>7272.45</v>
      </c>
      <c r="G390" s="242" t="str">
        <f>IF(Tableau3453[[#This Row],[Date 
du paiement]]="",Tableau3453[[#This Row],[Montant
de la facture
CHF]],"")</f>
        <v/>
      </c>
      <c r="H390" s="243"/>
      <c r="I390" s="245">
        <v>45453</v>
      </c>
      <c r="J390" s="246">
        <v>45475</v>
      </c>
      <c r="K390" s="247" t="s">
        <v>58</v>
      </c>
      <c r="L390" s="248"/>
      <c r="M390" s="248">
        <f>IF(Tableau3453[[#This Row],[Date 
du paiement]]="",$D$4-Tableau3453[[#This Row],[Date
de la facture]],Tableau3453[[#This Row],[Date 
du paiement]]-Tableau3453[[#This Row],[Date
de la facture]])</f>
        <v>26</v>
      </c>
      <c r="N390" s="241" t="str">
        <f>IF(Tableau3453[[#This Row],[Date 
du paiement]]="",IF(Tableau3453[[#This Row],[Jours]]&lt;30,Tableau3453[[#This Row],[Montant
de la facture
CHF]],""),"")</f>
        <v/>
      </c>
      <c r="O390" s="241" t="str">
        <f>IF(Tableau3453[[#This Row],[Date 
du paiement]]="",IF(Tableau3453[[#This Row],[Jours]]&gt;30,IF(Tableau3453[[#This Row],[Jours]]&lt;60,Tableau3453[[#This Row],[Montant
de la facture
CHF]],""),""),"")</f>
        <v/>
      </c>
      <c r="P390" s="241" t="str">
        <f>IF(Tableau3453[[#This Row],[Date 
du paiement]]="",IF(Tableau3453[[#This Row],[Jours]]&gt;60,Tableau3453[[#This Row],[Montant
de la facture
CHF]],""),"")</f>
        <v/>
      </c>
      <c r="Q390" s="249"/>
      <c r="R390" s="250" t="str">
        <f>Tableau3453[[#This Row],[Solde 
ouverte
fm]]</f>
        <v/>
      </c>
      <c r="S3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1" spans="1:19" hidden="1" outlineLevel="1" x14ac:dyDescent="0.25">
      <c r="A391" s="238">
        <v>240520</v>
      </c>
      <c r="B391" s="239" t="s">
        <v>860</v>
      </c>
      <c r="C391" s="352" t="str">
        <f>IF(Tableau3453[[#This Row],[Date 
du paiement]]="",IF(Tableau3453[[#This Row],[Jours]]&gt;Tableau3453[[#This Row],[Conditions
pmt+]]+5,"oui",""),"")</f>
        <v/>
      </c>
      <c r="D391" s="251" t="s">
        <v>867</v>
      </c>
      <c r="E391" s="240">
        <v>45449</v>
      </c>
      <c r="F391" s="263">
        <v>10535.95</v>
      </c>
      <c r="G391" s="242" t="str">
        <f>IF(Tableau3453[[#This Row],[Date 
du paiement]]="",Tableau3453[[#This Row],[Montant
de la facture
CHF]],"")</f>
        <v/>
      </c>
      <c r="H391" s="243"/>
      <c r="I391" s="245">
        <v>45453</v>
      </c>
      <c r="J391" s="246">
        <v>45478</v>
      </c>
      <c r="K391" s="247" t="s">
        <v>58</v>
      </c>
      <c r="L391" s="248"/>
      <c r="M391" s="248">
        <f>IF(Tableau3453[[#This Row],[Date 
du paiement]]="",$D$4-Tableau3453[[#This Row],[Date
de la facture]],Tableau3453[[#This Row],[Date 
du paiement]]-Tableau3453[[#This Row],[Date
de la facture]])</f>
        <v>29</v>
      </c>
      <c r="N391" s="241" t="str">
        <f>IF(Tableau3453[[#This Row],[Date 
du paiement]]="",IF(Tableau3453[[#This Row],[Jours]]&lt;30,Tableau3453[[#This Row],[Montant
de la facture
CHF]],""),"")</f>
        <v/>
      </c>
      <c r="O391" s="241" t="str">
        <f>IF(Tableau3453[[#This Row],[Date 
du paiement]]="",IF(Tableau3453[[#This Row],[Jours]]&gt;30,IF(Tableau3453[[#This Row],[Jours]]&lt;60,Tableau3453[[#This Row],[Montant
de la facture
CHF]],""),""),"")</f>
        <v/>
      </c>
      <c r="P391" s="241" t="str">
        <f>IF(Tableau3453[[#This Row],[Date 
du paiement]]="",IF(Tableau3453[[#This Row],[Jours]]&gt;60,Tableau3453[[#This Row],[Montant
de la facture
CHF]],""),"")</f>
        <v/>
      </c>
      <c r="Q391" s="249"/>
      <c r="R391" s="250" t="str">
        <f>Tableau3453[[#This Row],[Solde 
ouverte
fm]]</f>
        <v/>
      </c>
      <c r="S3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2" spans="1:19" hidden="1" outlineLevel="1" x14ac:dyDescent="0.25">
      <c r="A392" s="268">
        <v>240755</v>
      </c>
      <c r="B392" s="239">
        <v>30</v>
      </c>
      <c r="C392" s="352" t="str">
        <f>IF(Tableau3453[[#This Row],[Date 
du paiement]]="",IF(Tableau3453[[#This Row],[Jours]]&gt;Tableau3453[[#This Row],[Conditions
pmt+]]+5,"oui",""),"")</f>
        <v/>
      </c>
      <c r="D392" s="262" t="s">
        <v>863</v>
      </c>
      <c r="E392" s="240">
        <v>45513</v>
      </c>
      <c r="F392" s="263">
        <v>4799.25</v>
      </c>
      <c r="G392" s="242" t="str">
        <f>IF(Tableau3453[[#This Row],[Date 
du paiement]]="",Tableau3453[[#This Row],[Montant
de la facture
CHF]],"")</f>
        <v/>
      </c>
      <c r="H392" s="243"/>
      <c r="I392" s="245">
        <v>45513</v>
      </c>
      <c r="J392" s="246">
        <v>45540</v>
      </c>
      <c r="K392" s="247" t="s">
        <v>58</v>
      </c>
      <c r="L392" s="264"/>
      <c r="M392" s="265">
        <f>IF(Tableau3453[[#This Row],[Date 
du paiement]]="",$D$4-Tableau3453[[#This Row],[Date
de la facture]],Tableau3453[[#This Row],[Date 
du paiement]]-Tableau3453[[#This Row],[Date
de la facture]])</f>
        <v>27</v>
      </c>
      <c r="N392" s="263" t="str">
        <f>IF(Tableau3453[[#This Row],[Date 
du paiement]]="",IF(Tableau3453[[#This Row],[Jours]]&lt;30,Tableau3453[[#This Row],[Montant
de la facture
CHF]],""),"")</f>
        <v/>
      </c>
      <c r="O392" s="263" t="str">
        <f>IF(Tableau3453[[#This Row],[Date 
du paiement]]="",IF(Tableau3453[[#This Row],[Jours]]&gt;30,IF(Tableau3453[[#This Row],[Jours]]&lt;60,Tableau3453[[#This Row],[Montant
de la facture
CHF]],""),""),"")</f>
        <v/>
      </c>
      <c r="P392" s="263" t="str">
        <f>IF(Tableau3453[[#This Row],[Date 
du paiement]]="",IF(Tableau3453[[#This Row],[Jours]]&gt;60,Tableau3453[[#This Row],[Montant
de la facture
CHF]],""),"")</f>
        <v/>
      </c>
      <c r="Q392" s="266"/>
      <c r="R392" s="267" t="str">
        <f>Tableau3453[[#This Row],[Solde 
ouverte
fm]]</f>
        <v/>
      </c>
      <c r="S39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3" spans="1:19" hidden="1" outlineLevel="1" x14ac:dyDescent="0.25">
      <c r="A393" s="238">
        <v>240535</v>
      </c>
      <c r="B393" s="239" t="s">
        <v>857</v>
      </c>
      <c r="C393" s="352" t="str">
        <f>IF(Tableau3453[[#This Row],[Date 
du paiement]]="",IF(Tableau3453[[#This Row],[Jours]]&gt;Tableau3453[[#This Row],[Conditions
pmt+]]+5,"oui",""),"")</f>
        <v/>
      </c>
      <c r="D393" s="251" t="s">
        <v>865</v>
      </c>
      <c r="E393" s="240">
        <v>45440</v>
      </c>
      <c r="F393" s="263">
        <v>73.45</v>
      </c>
      <c r="G393" s="242" t="str">
        <f>IF(Tableau3453[[#This Row],[Date 
du paiement]]="",Tableau3453[[#This Row],[Montant
de la facture
CHF]],"")</f>
        <v/>
      </c>
      <c r="H393" s="243"/>
      <c r="I393" s="245">
        <v>45441</v>
      </c>
      <c r="J393" s="246">
        <v>45509</v>
      </c>
      <c r="K393" s="247" t="s">
        <v>58</v>
      </c>
      <c r="L393" s="248"/>
      <c r="M393" s="271">
        <f>IF(Tableau3453[[#This Row],[Date 
du paiement]]="",$D$4-Tableau3453[[#This Row],[Date
de la facture]],Tableau3453[[#This Row],[Date 
du paiement]]-Tableau3453[[#This Row],[Date
de la facture]])</f>
        <v>69</v>
      </c>
      <c r="N393" s="241" t="str">
        <f>IF(Tableau3453[[#This Row],[Date 
du paiement]]="",IF(Tableau3453[[#This Row],[Jours]]&lt;30,Tableau3453[[#This Row],[Montant
de la facture
CHF]],""),"")</f>
        <v/>
      </c>
      <c r="O393" s="241" t="str">
        <f>IF(Tableau3453[[#This Row],[Date 
du paiement]]="",IF(Tableau3453[[#This Row],[Jours]]&gt;30,IF(Tableau3453[[#This Row],[Jours]]&lt;60,Tableau3453[[#This Row],[Montant
de la facture
CHF]],""),""),"")</f>
        <v/>
      </c>
      <c r="P393" s="241" t="str">
        <f>IF(Tableau3453[[#This Row],[Date 
du paiement]]="",IF(Tableau3453[[#This Row],[Jours]]&gt;60,Tableau3453[[#This Row],[Montant
de la facture
CHF]],""),"")</f>
        <v/>
      </c>
      <c r="Q393" s="249"/>
      <c r="R393" s="250" t="str">
        <f>Tableau3453[[#This Row],[Solde 
ouverte
fm]]</f>
        <v/>
      </c>
      <c r="S39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4" spans="1:19" hidden="1" outlineLevel="1" x14ac:dyDescent="0.25">
      <c r="A394" s="238">
        <v>240466</v>
      </c>
      <c r="B394" s="239" t="s">
        <v>860</v>
      </c>
      <c r="C394" s="352" t="str">
        <f>IF(Tableau3453[[#This Row],[Date 
du paiement]]="",IF(Tableau3453[[#This Row],[Jours]]&gt;Tableau3453[[#This Row],[Conditions
pmt+]]+5,"oui",""),"")</f>
        <v/>
      </c>
      <c r="D394" s="251" t="s">
        <v>885</v>
      </c>
      <c r="E394" s="240">
        <v>45450</v>
      </c>
      <c r="F394" s="263">
        <v>526.79999999999995</v>
      </c>
      <c r="G394" s="242" t="str">
        <f>IF(Tableau3453[[#This Row],[Date 
du paiement]]="",Tableau3453[[#This Row],[Montant
de la facture
CHF]],"")</f>
        <v/>
      </c>
      <c r="H394" s="243"/>
      <c r="I394" s="245">
        <v>45453</v>
      </c>
      <c r="J394" s="246">
        <v>45454</v>
      </c>
      <c r="K394" s="247" t="s">
        <v>58</v>
      </c>
      <c r="L394" s="248"/>
      <c r="M394" s="248">
        <f>IF(Tableau3453[[#This Row],[Date 
du paiement]]="",$D$4-Tableau3453[[#This Row],[Date
de la facture]],Tableau3453[[#This Row],[Date 
du paiement]]-Tableau3453[[#This Row],[Date
de la facture]])</f>
        <v>4</v>
      </c>
      <c r="N394" s="241" t="str">
        <f>IF(Tableau3453[[#This Row],[Date 
du paiement]]="",IF(Tableau3453[[#This Row],[Jours]]&lt;30,Tableau3453[[#This Row],[Montant
de la facture
CHF]],""),"")</f>
        <v/>
      </c>
      <c r="O394" s="241" t="str">
        <f>IF(Tableau3453[[#This Row],[Date 
du paiement]]="",IF(Tableau3453[[#This Row],[Jours]]&gt;30,IF(Tableau3453[[#This Row],[Jours]]&lt;60,Tableau3453[[#This Row],[Montant
de la facture
CHF]],""),""),"")</f>
        <v/>
      </c>
      <c r="P394" s="241" t="str">
        <f>IF(Tableau3453[[#This Row],[Date 
du paiement]]="",IF(Tableau3453[[#This Row],[Jours]]&gt;60,Tableau3453[[#This Row],[Montant
de la facture
CHF]],""),"")</f>
        <v/>
      </c>
      <c r="Q394" s="249"/>
      <c r="R394" s="250" t="str">
        <f>Tableau3453[[#This Row],[Solde 
ouverte
fm]]</f>
        <v/>
      </c>
      <c r="S39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5" spans="1:19" hidden="1" outlineLevel="1" x14ac:dyDescent="0.25">
      <c r="A395" s="238">
        <v>240551</v>
      </c>
      <c r="B395" s="239" t="s">
        <v>860</v>
      </c>
      <c r="C395" s="352" t="str">
        <f>IF(Tableau3453[[#This Row],[Date 
du paiement]]="",IF(Tableau3453[[#This Row],[Jours]]&gt;Tableau3453[[#This Row],[Conditions
pmt+]]+5,"oui",""),"")</f>
        <v/>
      </c>
      <c r="D395" s="251" t="s">
        <v>902</v>
      </c>
      <c r="E395" s="240">
        <v>45450</v>
      </c>
      <c r="F395" s="263">
        <v>6714.5</v>
      </c>
      <c r="G395" s="242" t="str">
        <f>IF(Tableau3453[[#This Row],[Date 
du paiement]]="",Tableau3453[[#This Row],[Montant
de la facture
CHF]],"")</f>
        <v/>
      </c>
      <c r="H395" s="243"/>
      <c r="I395" s="245">
        <v>45454</v>
      </c>
      <c r="J395" s="246">
        <v>45487</v>
      </c>
      <c r="K395" s="247" t="s">
        <v>58</v>
      </c>
      <c r="L395" s="248"/>
      <c r="M395" s="248">
        <f>IF(Tableau3453[[#This Row],[Date 
du paiement]]="",$D$4-Tableau3453[[#This Row],[Date
de la facture]],Tableau3453[[#This Row],[Date 
du paiement]]-Tableau3453[[#This Row],[Date
de la facture]])</f>
        <v>37</v>
      </c>
      <c r="N395" s="241" t="str">
        <f>IF(Tableau3453[[#This Row],[Date 
du paiement]]="",IF(Tableau3453[[#This Row],[Jours]]&lt;30,Tableau3453[[#This Row],[Montant
de la facture
CHF]],""),"")</f>
        <v/>
      </c>
      <c r="O395" s="241" t="str">
        <f>IF(Tableau3453[[#This Row],[Date 
du paiement]]="",IF(Tableau3453[[#This Row],[Jours]]&gt;30,IF(Tableau3453[[#This Row],[Jours]]&lt;60,Tableau3453[[#This Row],[Montant
de la facture
CHF]],""),""),"")</f>
        <v/>
      </c>
      <c r="P395" s="241" t="str">
        <f>IF(Tableau3453[[#This Row],[Date 
du paiement]]="",IF(Tableau3453[[#This Row],[Jours]]&gt;60,Tableau3453[[#This Row],[Montant
de la facture
CHF]],""),"")</f>
        <v/>
      </c>
      <c r="Q395" s="249" t="s">
        <v>1181</v>
      </c>
      <c r="R395" s="250" t="str">
        <f>Tableau3453[[#This Row],[Solde 
ouverte
fm]]</f>
        <v/>
      </c>
      <c r="S39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6" spans="1:19" hidden="1" outlineLevel="1" x14ac:dyDescent="0.25">
      <c r="A396" s="238">
        <v>240510</v>
      </c>
      <c r="B396" s="239" t="s">
        <v>860</v>
      </c>
      <c r="C396" s="352" t="str">
        <f>IF(Tableau3453[[#This Row],[Date 
du paiement]]="",IF(Tableau3453[[#This Row],[Jours]]&gt;Tableau3453[[#This Row],[Conditions
pmt+]]+5,"oui",""),"")</f>
        <v/>
      </c>
      <c r="D396" s="251" t="s">
        <v>975</v>
      </c>
      <c r="E396" s="240">
        <v>45453</v>
      </c>
      <c r="F396" s="263">
        <v>2646.85</v>
      </c>
      <c r="G396" s="242" t="str">
        <f>IF(Tableau3453[[#This Row],[Date 
du paiement]]="",Tableau3453[[#This Row],[Montant
de la facture
CHF]],"")</f>
        <v/>
      </c>
      <c r="H396" s="243" t="s">
        <v>976</v>
      </c>
      <c r="I396" s="245">
        <v>45453</v>
      </c>
      <c r="J396" s="246">
        <v>45483</v>
      </c>
      <c r="K396" s="247" t="s">
        <v>58</v>
      </c>
      <c r="L396" s="248"/>
      <c r="M396" s="248">
        <f>IF(Tableau3453[[#This Row],[Date 
du paiement]]="",$D$4-Tableau3453[[#This Row],[Date
de la facture]],Tableau3453[[#This Row],[Date 
du paiement]]-Tableau3453[[#This Row],[Date
de la facture]])</f>
        <v>30</v>
      </c>
      <c r="N396" s="241" t="str">
        <f>IF(Tableau3453[[#This Row],[Date 
du paiement]]="",IF(Tableau3453[[#This Row],[Jours]]&lt;30,Tableau3453[[#This Row],[Montant
de la facture
CHF]],""),"")</f>
        <v/>
      </c>
      <c r="O396" s="241" t="str">
        <f>IF(Tableau3453[[#This Row],[Date 
du paiement]]="",IF(Tableau3453[[#This Row],[Jours]]&gt;30,IF(Tableau3453[[#This Row],[Jours]]&lt;60,Tableau3453[[#This Row],[Montant
de la facture
CHF]],""),""),"")</f>
        <v/>
      </c>
      <c r="P396" s="241" t="str">
        <f>IF(Tableau3453[[#This Row],[Date 
du paiement]]="",IF(Tableau3453[[#This Row],[Jours]]&gt;60,Tableau3453[[#This Row],[Montant
de la facture
CHF]],""),"")</f>
        <v/>
      </c>
      <c r="Q396" s="249"/>
      <c r="R396" s="250" t="str">
        <f>Tableau3453[[#This Row],[Solde 
ouverte
fm]]</f>
        <v/>
      </c>
      <c r="S39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7" spans="1:19" hidden="1" outlineLevel="1" x14ac:dyDescent="0.25">
      <c r="A397" s="268">
        <v>240647</v>
      </c>
      <c r="B397" s="239" t="s">
        <v>860</v>
      </c>
      <c r="C397" s="352" t="str">
        <f>IF(Tableau3453[[#This Row],[Date 
du paiement]]="",IF(Tableau3453[[#This Row],[Jours]]&gt;Tableau3453[[#This Row],[Conditions
pmt+]]+5,"oui",""),"")</f>
        <v/>
      </c>
      <c r="D397" s="251" t="s">
        <v>1119</v>
      </c>
      <c r="E397" s="240">
        <v>45474</v>
      </c>
      <c r="F397" s="263">
        <v>3059.15</v>
      </c>
      <c r="G397" s="242" t="str">
        <f>IF(Tableau3453[[#This Row],[Date 
du paiement]]="",Tableau3453[[#This Row],[Montant
de la facture
CHF]],"")</f>
        <v/>
      </c>
      <c r="H397" s="243"/>
      <c r="I397" s="245">
        <v>45475</v>
      </c>
      <c r="J397" s="246">
        <v>45499</v>
      </c>
      <c r="K397" s="247" t="s">
        <v>58</v>
      </c>
      <c r="L397" s="264"/>
      <c r="M397" s="265">
        <f>IF(Tableau3453[[#This Row],[Date 
du paiement]]="",$D$4-Tableau3453[[#This Row],[Date
de la facture]],Tableau3453[[#This Row],[Date 
du paiement]]-Tableau3453[[#This Row],[Date
de la facture]])</f>
        <v>25</v>
      </c>
      <c r="N397" s="263" t="str">
        <f>IF(Tableau3453[[#This Row],[Date 
du paiement]]="",IF(Tableau3453[[#This Row],[Jours]]&lt;30,Tableau3453[[#This Row],[Montant
de la facture
CHF]],""),"")</f>
        <v/>
      </c>
      <c r="O397" s="263" t="str">
        <f>IF(Tableau3453[[#This Row],[Date 
du paiement]]="",IF(Tableau3453[[#This Row],[Jours]]&gt;30,IF(Tableau3453[[#This Row],[Jours]]&lt;60,Tableau3453[[#This Row],[Montant
de la facture
CHF]],""),""),"")</f>
        <v/>
      </c>
      <c r="P397" s="263" t="str">
        <f>IF(Tableau3453[[#This Row],[Date 
du paiement]]="",IF(Tableau3453[[#This Row],[Jours]]&gt;60,Tableau3453[[#This Row],[Montant
de la facture
CHF]],""),"")</f>
        <v/>
      </c>
      <c r="Q397" s="266"/>
      <c r="R397" s="267" t="str">
        <f>Tableau3453[[#This Row],[Solde 
ouverte
fm]]</f>
        <v/>
      </c>
      <c r="S39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8" spans="1:19" hidden="1" outlineLevel="1" x14ac:dyDescent="0.25">
      <c r="A398" s="238">
        <v>240562</v>
      </c>
      <c r="B398" s="239" t="s">
        <v>860</v>
      </c>
      <c r="C398" s="352" t="str">
        <f>IF(Tableau3453[[#This Row],[Date 
du paiement]]="",IF(Tableau3453[[#This Row],[Jours]]&gt;Tableau3453[[#This Row],[Conditions
pmt+]]+5,"oui",""),"")</f>
        <v/>
      </c>
      <c r="D398" s="251" t="s">
        <v>880</v>
      </c>
      <c r="E398" s="240">
        <v>45453</v>
      </c>
      <c r="F398" s="263">
        <v>365</v>
      </c>
      <c r="G398" s="242" t="str">
        <f>IF(Tableau3453[[#This Row],[Date 
du paiement]]="",Tableau3453[[#This Row],[Montant
de la facture
CHF]],"")</f>
        <v/>
      </c>
      <c r="H398" s="243"/>
      <c r="I398" s="245">
        <v>45453</v>
      </c>
      <c r="J398" s="246">
        <v>45478</v>
      </c>
      <c r="K398" s="247" t="s">
        <v>58</v>
      </c>
      <c r="L398" s="248"/>
      <c r="M398" s="248">
        <f>IF(Tableau3453[[#This Row],[Date 
du paiement]]="",$D$4-Tableau3453[[#This Row],[Date
de la facture]],Tableau3453[[#This Row],[Date 
du paiement]]-Tableau3453[[#This Row],[Date
de la facture]])</f>
        <v>25</v>
      </c>
      <c r="N398" s="241" t="str">
        <f>IF(Tableau3453[[#This Row],[Date 
du paiement]]="",IF(Tableau3453[[#This Row],[Jours]]&lt;30,Tableau3453[[#This Row],[Montant
de la facture
CHF]],""),"")</f>
        <v/>
      </c>
      <c r="O398" s="241" t="str">
        <f>IF(Tableau3453[[#This Row],[Date 
du paiement]]="",IF(Tableau3453[[#This Row],[Jours]]&gt;30,IF(Tableau3453[[#This Row],[Jours]]&lt;60,Tableau3453[[#This Row],[Montant
de la facture
CHF]],""),""),"")</f>
        <v/>
      </c>
      <c r="P398" s="241" t="str">
        <f>IF(Tableau3453[[#This Row],[Date 
du paiement]]="",IF(Tableau3453[[#This Row],[Jours]]&gt;60,Tableau3453[[#This Row],[Montant
de la facture
CHF]],""),"")</f>
        <v/>
      </c>
      <c r="Q398" s="249"/>
      <c r="R398" s="250" t="str">
        <f>Tableau3453[[#This Row],[Solde 
ouverte
fm]]</f>
        <v/>
      </c>
      <c r="S39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399" spans="1:19" hidden="1" outlineLevel="1" x14ac:dyDescent="0.25">
      <c r="A399" s="238">
        <v>240559</v>
      </c>
      <c r="B399" s="239" t="s">
        <v>860</v>
      </c>
      <c r="C399" s="352" t="str">
        <f>IF(Tableau3453[[#This Row],[Date 
du paiement]]="",IF(Tableau3453[[#This Row],[Jours]]&gt;Tableau3453[[#This Row],[Conditions
pmt+]]+5,"oui",""),"")</f>
        <v/>
      </c>
      <c r="D399" s="251" t="s">
        <v>1034</v>
      </c>
      <c r="E399" s="240">
        <v>45453</v>
      </c>
      <c r="F399" s="263">
        <v>758.55</v>
      </c>
      <c r="G399" s="242" t="str">
        <f>IF(Tableau3453[[#This Row],[Date 
du paiement]]="",Tableau3453[[#This Row],[Montant
de la facture
CHF]],"")</f>
        <v/>
      </c>
      <c r="H399" s="243"/>
      <c r="I399" s="245">
        <v>45453</v>
      </c>
      <c r="J399" s="246">
        <v>45447</v>
      </c>
      <c r="K399" s="247" t="s">
        <v>907</v>
      </c>
      <c r="L399" s="248"/>
      <c r="M399" s="248">
        <f>IF(Tableau3453[[#This Row],[Date 
du paiement]]="",$D$4-Tableau3453[[#This Row],[Date
de la facture]],Tableau3453[[#This Row],[Date 
du paiement]]-Tableau3453[[#This Row],[Date
de la facture]])</f>
        <v>-6</v>
      </c>
      <c r="N399" s="241" t="str">
        <f>IF(Tableau3453[[#This Row],[Date 
du paiement]]="",IF(Tableau3453[[#This Row],[Jours]]&lt;30,Tableau3453[[#This Row],[Montant
de la facture
CHF]],""),"")</f>
        <v/>
      </c>
      <c r="O399" s="241" t="str">
        <f>IF(Tableau3453[[#This Row],[Date 
du paiement]]="",IF(Tableau3453[[#This Row],[Jours]]&gt;30,IF(Tableau3453[[#This Row],[Jours]]&lt;60,Tableau3453[[#This Row],[Montant
de la facture
CHF]],""),""),"")</f>
        <v/>
      </c>
      <c r="P399" s="241" t="str">
        <f>IF(Tableau3453[[#This Row],[Date 
du paiement]]="",IF(Tableau3453[[#This Row],[Jours]]&gt;60,Tableau3453[[#This Row],[Montant
de la facture
CHF]],""),"")</f>
        <v/>
      </c>
      <c r="Q399" s="249"/>
      <c r="R399" s="267" t="str">
        <f>Tableau3453[[#This Row],[Solde 
ouverte
fm]]</f>
        <v/>
      </c>
      <c r="S39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0" spans="1:19" hidden="1" outlineLevel="1" x14ac:dyDescent="0.25">
      <c r="A400" s="238">
        <v>240573</v>
      </c>
      <c r="B400" s="239" t="s">
        <v>860</v>
      </c>
      <c r="C400" s="352" t="str">
        <f>IF(Tableau3453[[#This Row],[Date 
du paiement]]="",IF(Tableau3453[[#This Row],[Jours]]&gt;Tableau3453[[#This Row],[Conditions
pmt+]]+5,"oui",""),"")</f>
        <v/>
      </c>
      <c r="D400" s="251" t="s">
        <v>899</v>
      </c>
      <c r="E400" s="240">
        <v>45454</v>
      </c>
      <c r="F400" s="263">
        <v>6834</v>
      </c>
      <c r="G400" s="242" t="str">
        <f>IF(Tableau3453[[#This Row],[Date 
du paiement]]="",Tableau3453[[#This Row],[Montant
de la facture
CHF]],"")</f>
        <v/>
      </c>
      <c r="H400" s="243"/>
      <c r="I400" s="245">
        <v>45455</v>
      </c>
      <c r="J400" s="246">
        <v>45471</v>
      </c>
      <c r="K400" s="247" t="s">
        <v>58</v>
      </c>
      <c r="L400" s="248"/>
      <c r="M400" s="248">
        <f>IF(Tableau3453[[#This Row],[Date 
du paiement]]="",$D$4-Tableau3453[[#This Row],[Date
de la facture]],Tableau3453[[#This Row],[Date 
du paiement]]-Tableau3453[[#This Row],[Date
de la facture]])</f>
        <v>17</v>
      </c>
      <c r="N400" s="241" t="str">
        <f>IF(Tableau3453[[#This Row],[Date 
du paiement]]="",IF(Tableau3453[[#This Row],[Jours]]&lt;30,Tableau3453[[#This Row],[Montant
de la facture
CHF]],""),"")</f>
        <v/>
      </c>
      <c r="O400" s="241" t="str">
        <f>IF(Tableau3453[[#This Row],[Date 
du paiement]]="",IF(Tableau3453[[#This Row],[Jours]]&gt;30,IF(Tableau3453[[#This Row],[Jours]]&lt;60,Tableau3453[[#This Row],[Montant
de la facture
CHF]],""),""),"")</f>
        <v/>
      </c>
      <c r="P400" s="241" t="str">
        <f>IF(Tableau3453[[#This Row],[Date 
du paiement]]="",IF(Tableau3453[[#This Row],[Jours]]&gt;60,Tableau3453[[#This Row],[Montant
de la facture
CHF]],""),"")</f>
        <v/>
      </c>
      <c r="Q400" s="249"/>
      <c r="R400" s="250" t="str">
        <f>Tableau3453[[#This Row],[Solde 
ouverte
fm]]</f>
        <v/>
      </c>
      <c r="S40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1" spans="1:19" hidden="1" outlineLevel="1" x14ac:dyDescent="0.25">
      <c r="A401" s="238">
        <v>240408</v>
      </c>
      <c r="B401" s="239" t="s">
        <v>870</v>
      </c>
      <c r="C401" s="352" t="str">
        <f>IF(Tableau3453[[#This Row],[Date 
du paiement]]="",IF(Tableau3453[[#This Row],[Jours]]&gt;Tableau3453[[#This Row],[Conditions
pmt+]]+5,"oui",""),"")</f>
        <v/>
      </c>
      <c r="D401" s="251" t="s">
        <v>1038</v>
      </c>
      <c r="E401" s="240">
        <v>45454</v>
      </c>
      <c r="F401" s="263">
        <v>6573</v>
      </c>
      <c r="G401" s="242" t="str">
        <f>IF(Tableau3453[[#This Row],[Date 
du paiement]]="",Tableau3453[[#This Row],[Montant
de la facture
CHF]],"")</f>
        <v/>
      </c>
      <c r="H401" s="243"/>
      <c r="I401" s="245">
        <v>45457</v>
      </c>
      <c r="J401" s="246">
        <v>45435</v>
      </c>
      <c r="K401" s="247" t="s">
        <v>58</v>
      </c>
      <c r="L401" s="248"/>
      <c r="M401" s="248">
        <f>IF(Tableau3453[[#This Row],[Date 
du paiement]]="",$D$4-Tableau3453[[#This Row],[Date
de la facture]],Tableau3453[[#This Row],[Date 
du paiement]]-Tableau3453[[#This Row],[Date
de la facture]])</f>
        <v>-19</v>
      </c>
      <c r="N401" s="241" t="str">
        <f>IF(Tableau3453[[#This Row],[Date 
du paiement]]="",IF(Tableau3453[[#This Row],[Jours]]&lt;30,Tableau3453[[#This Row],[Montant
de la facture
CHF]],""),"")</f>
        <v/>
      </c>
      <c r="O401" s="241" t="str">
        <f>IF(Tableau3453[[#This Row],[Date 
du paiement]]="",IF(Tableau3453[[#This Row],[Jours]]&gt;30,IF(Tableau3453[[#This Row],[Jours]]&lt;60,Tableau3453[[#This Row],[Montant
de la facture
CHF]],""),""),"")</f>
        <v/>
      </c>
      <c r="P401" s="241" t="str">
        <f>IF(Tableau3453[[#This Row],[Date 
du paiement]]="",IF(Tableau3453[[#This Row],[Jours]]&gt;60,Tableau3453[[#This Row],[Montant
de la facture
CHF]],""),"")</f>
        <v/>
      </c>
      <c r="Q401" s="249"/>
      <c r="R401" s="267" t="str">
        <f>Tableau3453[[#This Row],[Solde 
ouverte
fm]]</f>
        <v/>
      </c>
      <c r="S40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2" spans="1:19" hidden="1" outlineLevel="1" x14ac:dyDescent="0.25">
      <c r="A402" s="238">
        <v>240544</v>
      </c>
      <c r="B402" s="239" t="s">
        <v>870</v>
      </c>
      <c r="C402" s="352" t="str">
        <f>IF(Tableau3453[[#This Row],[Date 
du paiement]]="",IF(Tableau3453[[#This Row],[Jours]]&gt;Tableau3453[[#This Row],[Conditions
pmt+]]+5,"oui",""),"")</f>
        <v/>
      </c>
      <c r="D402" s="251" t="s">
        <v>1038</v>
      </c>
      <c r="E402" s="240">
        <v>45454</v>
      </c>
      <c r="F402" s="263">
        <v>9030.4</v>
      </c>
      <c r="G402" s="242" t="str">
        <f>IF(Tableau3453[[#This Row],[Date 
du paiement]]="",Tableau3453[[#This Row],[Montant
de la facture
CHF]],"")</f>
        <v/>
      </c>
      <c r="H402" s="243"/>
      <c r="I402" s="245">
        <v>45457</v>
      </c>
      <c r="J402" s="246">
        <v>45435</v>
      </c>
      <c r="K402" s="247" t="s">
        <v>58</v>
      </c>
      <c r="L402" s="248"/>
      <c r="M402" s="248">
        <f>IF(Tableau3453[[#This Row],[Date 
du paiement]]="",$D$4-Tableau3453[[#This Row],[Date
de la facture]],Tableau3453[[#This Row],[Date 
du paiement]]-Tableau3453[[#This Row],[Date
de la facture]])</f>
        <v>-19</v>
      </c>
      <c r="N402" s="241" t="str">
        <f>IF(Tableau3453[[#This Row],[Date 
du paiement]]="",IF(Tableau3453[[#This Row],[Jours]]&lt;30,Tableau3453[[#This Row],[Montant
de la facture
CHF]],""),"")</f>
        <v/>
      </c>
      <c r="O402" s="241" t="str">
        <f>IF(Tableau3453[[#This Row],[Date 
du paiement]]="",IF(Tableau3453[[#This Row],[Jours]]&gt;30,IF(Tableau3453[[#This Row],[Jours]]&lt;60,Tableau3453[[#This Row],[Montant
de la facture
CHF]],""),""),"")</f>
        <v/>
      </c>
      <c r="P402" s="241" t="str">
        <f>IF(Tableau3453[[#This Row],[Date 
du paiement]]="",IF(Tableau3453[[#This Row],[Jours]]&gt;60,Tableau3453[[#This Row],[Montant
de la facture
CHF]],""),"")</f>
        <v/>
      </c>
      <c r="Q402" s="249"/>
      <c r="R402" s="267" t="str">
        <f>Tableau3453[[#This Row],[Solde 
ouverte
fm]]</f>
        <v/>
      </c>
      <c r="S40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3" spans="1:19" hidden="1" outlineLevel="1" x14ac:dyDescent="0.25">
      <c r="A403" s="238">
        <v>240503</v>
      </c>
      <c r="B403" s="239" t="s">
        <v>860</v>
      </c>
      <c r="C403" s="352" t="str">
        <f>IF(Tableau3453[[#This Row],[Date 
du paiement]]="",IF(Tableau3453[[#This Row],[Jours]]&gt;Tableau3453[[#This Row],[Conditions
pmt+]]+5,"oui",""),"")</f>
        <v/>
      </c>
      <c r="D403" s="251" t="s">
        <v>975</v>
      </c>
      <c r="E403" s="240">
        <v>45455</v>
      </c>
      <c r="F403" s="263">
        <v>5016.05</v>
      </c>
      <c r="G403" s="242" t="str">
        <f>IF(Tableau3453[[#This Row],[Date 
du paiement]]="",Tableau3453[[#This Row],[Montant
de la facture
CHF]],"")</f>
        <v/>
      </c>
      <c r="H403" s="243"/>
      <c r="I403" s="245">
        <v>45455</v>
      </c>
      <c r="J403" s="246">
        <v>45482</v>
      </c>
      <c r="K403" s="247" t="s">
        <v>58</v>
      </c>
      <c r="L403" s="248"/>
      <c r="M403" s="248">
        <f>IF(Tableau3453[[#This Row],[Date 
du paiement]]="",$D$4-Tableau3453[[#This Row],[Date
de la facture]],Tableau3453[[#This Row],[Date 
du paiement]]-Tableau3453[[#This Row],[Date
de la facture]])</f>
        <v>27</v>
      </c>
      <c r="N403" s="241" t="str">
        <f>IF(Tableau3453[[#This Row],[Date 
du paiement]]="",IF(Tableau3453[[#This Row],[Jours]]&lt;30,Tableau3453[[#This Row],[Montant
de la facture
CHF]],""),"")</f>
        <v/>
      </c>
      <c r="O403" s="241" t="str">
        <f>IF(Tableau3453[[#This Row],[Date 
du paiement]]="",IF(Tableau3453[[#This Row],[Jours]]&gt;30,IF(Tableau3453[[#This Row],[Jours]]&lt;60,Tableau3453[[#This Row],[Montant
de la facture
CHF]],""),""),"")</f>
        <v/>
      </c>
      <c r="P403" s="241" t="str">
        <f>IF(Tableau3453[[#This Row],[Date 
du paiement]]="",IF(Tableau3453[[#This Row],[Jours]]&gt;60,Tableau3453[[#This Row],[Montant
de la facture
CHF]],""),"")</f>
        <v/>
      </c>
      <c r="Q403" s="249"/>
      <c r="R403" s="250" t="str">
        <f>Tableau3453[[#This Row],[Solde 
ouverte
fm]]</f>
        <v/>
      </c>
      <c r="S40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4" spans="1:19" hidden="1" outlineLevel="1" x14ac:dyDescent="0.25">
      <c r="A404" s="268">
        <v>240689</v>
      </c>
      <c r="B404" s="239">
        <v>30</v>
      </c>
      <c r="C404" s="352" t="str">
        <f>IF(Tableau3453[[#This Row],[Date 
du paiement]]="",IF(Tableau3453[[#This Row],[Jours]]&gt;Tableau3453[[#This Row],[Conditions
pmt+]]+5,"oui",""),"")</f>
        <v/>
      </c>
      <c r="D404" s="262" t="s">
        <v>863</v>
      </c>
      <c r="E404" s="240">
        <v>45484</v>
      </c>
      <c r="F404" s="263">
        <v>4313.75</v>
      </c>
      <c r="G404" s="242" t="str">
        <f>IF(Tableau3453[[#This Row],[Date 
du paiement]]="",Tableau3453[[#This Row],[Montant
de la facture
CHF]],"")</f>
        <v/>
      </c>
      <c r="H404" s="243"/>
      <c r="I404" s="245">
        <v>45485</v>
      </c>
      <c r="J404" s="246">
        <v>45513</v>
      </c>
      <c r="K404" s="247" t="s">
        <v>58</v>
      </c>
      <c r="L404" s="264"/>
      <c r="M404" s="265">
        <f>IF(Tableau3453[[#This Row],[Date 
du paiement]]="",$D$4-Tableau3453[[#This Row],[Date
de la facture]],Tableau3453[[#This Row],[Date 
du paiement]]-Tableau3453[[#This Row],[Date
de la facture]])</f>
        <v>29</v>
      </c>
      <c r="N404" s="263" t="str">
        <f>IF(Tableau3453[[#This Row],[Date 
du paiement]]="",IF(Tableau3453[[#This Row],[Jours]]&lt;30,Tableau3453[[#This Row],[Montant
de la facture
CHF]],""),"")</f>
        <v/>
      </c>
      <c r="O404" s="263" t="str">
        <f>IF(Tableau3453[[#This Row],[Date 
du paiement]]="",IF(Tableau3453[[#This Row],[Jours]]&gt;30,IF(Tableau3453[[#This Row],[Jours]]&lt;60,Tableau3453[[#This Row],[Montant
de la facture
CHF]],""),""),"")</f>
        <v/>
      </c>
      <c r="P404" s="263" t="str">
        <f>IF(Tableau3453[[#This Row],[Date 
du paiement]]="",IF(Tableau3453[[#This Row],[Jours]]&gt;60,Tableau3453[[#This Row],[Montant
de la facture
CHF]],""),"")</f>
        <v/>
      </c>
      <c r="Q404" s="266"/>
      <c r="R404" s="267" t="str">
        <f>Tableau3453[[#This Row],[Solde 
ouverte
fm]]</f>
        <v/>
      </c>
      <c r="S4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5" spans="1:19" hidden="1" outlineLevel="1" x14ac:dyDescent="0.25">
      <c r="A405" s="238">
        <v>240378</v>
      </c>
      <c r="B405" s="239" t="s">
        <v>860</v>
      </c>
      <c r="C405" s="352" t="str">
        <f>IF(Tableau3453[[#This Row],[Date 
du paiement]]="",IF(Tableau3453[[#This Row],[Jours]]&gt;Tableau3453[[#This Row],[Conditions
pmt+]]+5,"oui",""),"")</f>
        <v/>
      </c>
      <c r="D405" s="251" t="s">
        <v>1013</v>
      </c>
      <c r="E405" s="240">
        <v>45455</v>
      </c>
      <c r="F405" s="263">
        <v>634</v>
      </c>
      <c r="G405" s="242" t="str">
        <f>IF(Tableau3453[[#This Row],[Date 
du paiement]]="",Tableau3453[[#This Row],[Montant
de la facture
CHF]],"")</f>
        <v/>
      </c>
      <c r="H405" s="243" t="s">
        <v>1087</v>
      </c>
      <c r="I405" s="245">
        <v>45455</v>
      </c>
      <c r="J405" s="246">
        <v>45471</v>
      </c>
      <c r="K405" s="247" t="s">
        <v>58</v>
      </c>
      <c r="L405" s="248"/>
      <c r="M405" s="248">
        <f>IF(Tableau3453[[#This Row],[Date 
du paiement]]="",$D$4-Tableau3453[[#This Row],[Date
de la facture]],Tableau3453[[#This Row],[Date 
du paiement]]-Tableau3453[[#This Row],[Date
de la facture]])</f>
        <v>16</v>
      </c>
      <c r="N405" s="241" t="str">
        <f>IF(Tableau3453[[#This Row],[Date 
du paiement]]="",IF(Tableau3453[[#This Row],[Jours]]&lt;30,Tableau3453[[#This Row],[Montant
de la facture
CHF]],""),"")</f>
        <v/>
      </c>
      <c r="O405" s="241" t="str">
        <f>IF(Tableau3453[[#This Row],[Date 
du paiement]]="",IF(Tableau3453[[#This Row],[Jours]]&gt;30,IF(Tableau3453[[#This Row],[Jours]]&lt;60,Tableau3453[[#This Row],[Montant
de la facture
CHF]],""),""),"")</f>
        <v/>
      </c>
      <c r="P405" s="241" t="str">
        <f>IF(Tableau3453[[#This Row],[Date 
du paiement]]="",IF(Tableau3453[[#This Row],[Jours]]&gt;60,Tableau3453[[#This Row],[Montant
de la facture
CHF]],""),"")</f>
        <v/>
      </c>
      <c r="Q405" s="249"/>
      <c r="R405" s="250" t="str">
        <f>Tableau3453[[#This Row],[Solde 
ouverte
fm]]</f>
        <v/>
      </c>
      <c r="S40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6" spans="1:19" hidden="1" outlineLevel="1" x14ac:dyDescent="0.25">
      <c r="A406" s="238">
        <v>240397</v>
      </c>
      <c r="B406" s="239" t="s">
        <v>860</v>
      </c>
      <c r="C406" s="352" t="str">
        <f>IF(Tableau3453[[#This Row],[Date 
du paiement]]="",IF(Tableau3453[[#This Row],[Jours]]&gt;Tableau3453[[#This Row],[Conditions
pmt+]]+5,"oui",""),"")</f>
        <v/>
      </c>
      <c r="D406" s="238" t="s">
        <v>992</v>
      </c>
      <c r="E406" s="240">
        <v>45443</v>
      </c>
      <c r="F406" s="263">
        <v>758.55</v>
      </c>
      <c r="G406" s="242" t="str">
        <f>IF(Tableau3453[[#This Row],[Date 
du paiement]]="",Tableau3453[[#This Row],[Montant
de la facture
CHF]],"")</f>
        <v/>
      </c>
      <c r="H406" s="243" t="s">
        <v>1237</v>
      </c>
      <c r="I406" s="245">
        <v>45446</v>
      </c>
      <c r="J406" s="246">
        <v>45510</v>
      </c>
      <c r="K406" s="247" t="s">
        <v>58</v>
      </c>
      <c r="L406" s="248">
        <v>3</v>
      </c>
      <c r="M406" s="248">
        <f>IF(Tableau3453[[#This Row],[Date 
du paiement]]="",$D$4-Tableau3453[[#This Row],[Date
de la facture]],Tableau3453[[#This Row],[Date 
du paiement]]-Tableau3453[[#This Row],[Date
de la facture]])</f>
        <v>67</v>
      </c>
      <c r="N406" s="241" t="str">
        <f>IF(Tableau3453[[#This Row],[Date 
du paiement]]="",IF(Tableau3453[[#This Row],[Jours]]&lt;30,Tableau3453[[#This Row],[Montant
de la facture
CHF]],""),"")</f>
        <v/>
      </c>
      <c r="O406" s="241" t="str">
        <f>IF(Tableau3453[[#This Row],[Date 
du paiement]]="",IF(Tableau3453[[#This Row],[Jours]]&gt;30,IF(Tableau3453[[#This Row],[Jours]]&lt;60,Tableau3453[[#This Row],[Montant
de la facture
CHF]],""),""),"")</f>
        <v/>
      </c>
      <c r="P406" s="241" t="str">
        <f>IF(Tableau3453[[#This Row],[Date 
du paiement]]="",IF(Tableau3453[[#This Row],[Jours]]&gt;60,Tableau3453[[#This Row],[Montant
de la facture
CHF]],""),"")</f>
        <v/>
      </c>
      <c r="Q406" s="249" t="s">
        <v>1238</v>
      </c>
      <c r="R406" s="250" t="str">
        <f>Tableau3453[[#This Row],[Solde 
ouverte
fm]]</f>
        <v/>
      </c>
      <c r="S40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7" spans="1:19" hidden="1" outlineLevel="1" x14ac:dyDescent="0.25">
      <c r="A407" s="238">
        <v>240511</v>
      </c>
      <c r="B407" s="239" t="s">
        <v>860</v>
      </c>
      <c r="C407" s="352" t="str">
        <f>IF(Tableau3453[[#This Row],[Date 
du paiement]]="",IF(Tableau3453[[#This Row],[Jours]]&gt;Tableau3453[[#This Row],[Conditions
pmt+]]+5,"oui",""),"")</f>
        <v/>
      </c>
      <c r="D407" s="251" t="s">
        <v>891</v>
      </c>
      <c r="E407" s="240">
        <v>45455</v>
      </c>
      <c r="F407" s="263">
        <v>3481.15</v>
      </c>
      <c r="G407" s="242" t="str">
        <f>IF(Tableau3453[[#This Row],[Date 
du paiement]]="",Tableau3453[[#This Row],[Montant
de la facture
CHF]],"")</f>
        <v/>
      </c>
      <c r="H407" s="243"/>
      <c r="I407" s="245">
        <v>45455</v>
      </c>
      <c r="J407" s="246">
        <v>45457</v>
      </c>
      <c r="K407" s="247" t="s">
        <v>58</v>
      </c>
      <c r="L407" s="248"/>
      <c r="M407" s="248">
        <f>IF(Tableau3453[[#This Row],[Date 
du paiement]]="",$D$4-Tableau3453[[#This Row],[Date
de la facture]],Tableau3453[[#This Row],[Date 
du paiement]]-Tableau3453[[#This Row],[Date
de la facture]])</f>
        <v>2</v>
      </c>
      <c r="N407" s="241" t="str">
        <f>IF(Tableau3453[[#This Row],[Date 
du paiement]]="",IF(Tableau3453[[#This Row],[Jours]]&lt;30,Tableau3453[[#This Row],[Montant
de la facture
CHF]],""),"")</f>
        <v/>
      </c>
      <c r="O407" s="241" t="str">
        <f>IF(Tableau3453[[#This Row],[Date 
du paiement]]="",IF(Tableau3453[[#This Row],[Jours]]&gt;30,IF(Tableau3453[[#This Row],[Jours]]&lt;60,Tableau3453[[#This Row],[Montant
de la facture
CHF]],""),""),"")</f>
        <v/>
      </c>
      <c r="P407" s="241" t="str">
        <f>IF(Tableau3453[[#This Row],[Date 
du paiement]]="",IF(Tableau3453[[#This Row],[Jours]]&gt;60,Tableau3453[[#This Row],[Montant
de la facture
CHF]],""),"")</f>
        <v/>
      </c>
      <c r="Q407" s="249"/>
      <c r="R407" s="250" t="str">
        <f>Tableau3453[[#This Row],[Solde 
ouverte
fm]]</f>
        <v/>
      </c>
      <c r="S40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8" spans="1:19" hidden="1" outlineLevel="1" x14ac:dyDescent="0.25">
      <c r="A408" s="238">
        <v>240575</v>
      </c>
      <c r="B408" s="239" t="s">
        <v>860</v>
      </c>
      <c r="C408" s="352" t="str">
        <f>IF(Tableau3453[[#This Row],[Date 
du paiement]]="",IF(Tableau3453[[#This Row],[Jours]]&gt;Tableau3453[[#This Row],[Conditions
pmt+]]+5,"oui",""),"")</f>
        <v/>
      </c>
      <c r="D408" s="251" t="s">
        <v>1037</v>
      </c>
      <c r="E408" s="240">
        <v>45455</v>
      </c>
      <c r="F408" s="263">
        <v>277.89999999999998</v>
      </c>
      <c r="G408" s="242" t="str">
        <f>IF(Tableau3453[[#This Row],[Date 
du paiement]]="",Tableau3453[[#This Row],[Montant
de la facture
CHF]],"")</f>
        <v/>
      </c>
      <c r="H408" s="243"/>
      <c r="I408" s="245">
        <v>45455</v>
      </c>
      <c r="J408" s="246">
        <v>45456</v>
      </c>
      <c r="K408" s="247" t="s">
        <v>58</v>
      </c>
      <c r="L408" s="248"/>
      <c r="M408" s="248">
        <f>IF(Tableau3453[[#This Row],[Date 
du paiement]]="",$D$4-Tableau3453[[#This Row],[Date
de la facture]],Tableau3453[[#This Row],[Date 
du paiement]]-Tableau3453[[#This Row],[Date
de la facture]])</f>
        <v>1</v>
      </c>
      <c r="N408" s="241" t="str">
        <f>IF(Tableau3453[[#This Row],[Date 
du paiement]]="",IF(Tableau3453[[#This Row],[Jours]]&lt;30,Tableau3453[[#This Row],[Montant
de la facture
CHF]],""),"")</f>
        <v/>
      </c>
      <c r="O408" s="241" t="str">
        <f>IF(Tableau3453[[#This Row],[Date 
du paiement]]="",IF(Tableau3453[[#This Row],[Jours]]&gt;30,IF(Tableau3453[[#This Row],[Jours]]&lt;60,Tableau3453[[#This Row],[Montant
de la facture
CHF]],""),""),"")</f>
        <v/>
      </c>
      <c r="P408" s="241" t="str">
        <f>IF(Tableau3453[[#This Row],[Date 
du paiement]]="",IF(Tableau3453[[#This Row],[Jours]]&gt;60,Tableau3453[[#This Row],[Montant
de la facture
CHF]],""),"")</f>
        <v/>
      </c>
      <c r="Q408" s="249"/>
      <c r="R408" s="250" t="str">
        <f>Tableau3453[[#This Row],[Solde 
ouverte
fm]]</f>
        <v/>
      </c>
      <c r="S40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09" spans="1:19" hidden="1" outlineLevel="1" x14ac:dyDescent="0.25">
      <c r="A409" s="238">
        <v>240468</v>
      </c>
      <c r="B409" s="239" t="s">
        <v>860</v>
      </c>
      <c r="C409" s="352" t="str">
        <f>IF(Tableau3453[[#This Row],[Date 
du paiement]]="",IF(Tableau3453[[#This Row],[Jours]]&gt;Tableau3453[[#This Row],[Conditions
pmt+]]+5,"oui",""),"")</f>
        <v/>
      </c>
      <c r="D409" s="238" t="s">
        <v>1012</v>
      </c>
      <c r="E409" s="240">
        <v>45420</v>
      </c>
      <c r="F409" s="263">
        <v>3455.75</v>
      </c>
      <c r="G409" s="242" t="str">
        <f>IF(Tableau3453[[#This Row],[Date 
du paiement]]="",Tableau3453[[#This Row],[Montant
de la facture
CHF]],"")</f>
        <v/>
      </c>
      <c r="H409" s="243" t="s">
        <v>1332</v>
      </c>
      <c r="I409" s="245">
        <v>45425</v>
      </c>
      <c r="J409" s="246">
        <v>45525</v>
      </c>
      <c r="K409" s="247" t="s">
        <v>58</v>
      </c>
      <c r="L409" s="321">
        <v>8</v>
      </c>
      <c r="M409" s="248">
        <f>IF(Tableau3453[[#This Row],[Date 
du paiement]]="",$D$4-Tableau3453[[#This Row],[Date
de la facture]],Tableau3453[[#This Row],[Date 
du paiement]]-Tableau3453[[#This Row],[Date
de la facture]])</f>
        <v>105</v>
      </c>
      <c r="N409" s="241" t="str">
        <f>IF(Tableau3453[[#This Row],[Date 
du paiement]]="",IF(Tableau3453[[#This Row],[Jours]]&lt;30,Tableau3453[[#This Row],[Montant
de la facture
CHF]],""),"")</f>
        <v/>
      </c>
      <c r="O409" s="241" t="str">
        <f>IF(Tableau3453[[#This Row],[Date 
du paiement]]="",IF(Tableau3453[[#This Row],[Jours]]&gt;30,IF(Tableau3453[[#This Row],[Jours]]&lt;60,Tableau3453[[#This Row],[Montant
de la facture
CHF]],""),""),"")</f>
        <v/>
      </c>
      <c r="P409" s="241" t="str">
        <f>IF(Tableau3453[[#This Row],[Date 
du paiement]]="",IF(Tableau3453[[#This Row],[Jours]]&gt;60,Tableau3453[[#This Row],[Montant
de la facture
CHF]],""),"")</f>
        <v/>
      </c>
      <c r="Q409" s="249" t="s">
        <v>1362</v>
      </c>
      <c r="R409" s="250" t="str">
        <f>Tableau3453[[#This Row],[Solde 
ouverte
fm]]</f>
        <v/>
      </c>
      <c r="S40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0" spans="1:19" hidden="1" outlineLevel="1" x14ac:dyDescent="0.25">
      <c r="A410" s="238">
        <v>240546</v>
      </c>
      <c r="B410" s="239" t="s">
        <v>857</v>
      </c>
      <c r="C410" s="352" t="str">
        <f>IF(Tableau3453[[#This Row],[Date 
du paiement]]="",IF(Tableau3453[[#This Row],[Jours]]&gt;Tableau3453[[#This Row],[Conditions
pmt+]]+5,"oui",""),"")</f>
        <v/>
      </c>
      <c r="D410" s="251" t="s">
        <v>1002</v>
      </c>
      <c r="E410" s="240">
        <v>45446</v>
      </c>
      <c r="F410" s="263">
        <v>1882.9</v>
      </c>
      <c r="G410" s="242" t="str">
        <f>IF(Tableau3453[[#This Row],[Date 
du paiement]]="",Tableau3453[[#This Row],[Montant
de la facture
CHF]],"")</f>
        <v/>
      </c>
      <c r="H410" s="243"/>
      <c r="I410" s="245">
        <v>45447</v>
      </c>
      <c r="J410" s="246">
        <v>45534</v>
      </c>
      <c r="K410" s="247" t="s">
        <v>58</v>
      </c>
      <c r="L410" s="248">
        <v>4</v>
      </c>
      <c r="M410" s="248">
        <f>IF(Tableau3453[[#This Row],[Date 
du paiement]]="",$D$4-Tableau3453[[#This Row],[Date
de la facture]],Tableau3453[[#This Row],[Date 
du paiement]]-Tableau3453[[#This Row],[Date
de la facture]])</f>
        <v>88</v>
      </c>
      <c r="N410" s="241" t="str">
        <f>IF(Tableau3453[[#This Row],[Date 
du paiement]]="",IF(Tableau3453[[#This Row],[Jours]]&lt;30,Tableau3453[[#This Row],[Montant
de la facture
CHF]],""),"")</f>
        <v/>
      </c>
      <c r="O410" s="241" t="str">
        <f>IF(Tableau3453[[#This Row],[Date 
du paiement]]="",IF(Tableau3453[[#This Row],[Jours]]&gt;30,IF(Tableau3453[[#This Row],[Jours]]&lt;60,Tableau3453[[#This Row],[Montant
de la facture
CHF]],""),""),"")</f>
        <v/>
      </c>
      <c r="P410" s="241" t="str">
        <f>IF(Tableau3453[[#This Row],[Date 
du paiement]]="",IF(Tableau3453[[#This Row],[Jours]]&gt;60,Tableau3453[[#This Row],[Montant
de la facture
CHF]],""),"")</f>
        <v/>
      </c>
      <c r="Q410" s="249" t="s">
        <v>1404</v>
      </c>
      <c r="R410" s="250" t="str">
        <f>Tableau3453[[#This Row],[Solde 
ouverte
fm]]</f>
        <v/>
      </c>
      <c r="S4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1" spans="1:19" hidden="1" outlineLevel="1" x14ac:dyDescent="0.25">
      <c r="A411" s="238">
        <v>240523</v>
      </c>
      <c r="B411" s="239" t="s">
        <v>860</v>
      </c>
      <c r="C411" s="352" t="str">
        <f>IF(Tableau3453[[#This Row],[Date 
du paiement]]="",IF(Tableau3453[[#This Row],[Jours]]&gt;Tableau3453[[#This Row],[Conditions
pmt+]]+5,"oui",""),"")</f>
        <v/>
      </c>
      <c r="D411" s="251" t="s">
        <v>880</v>
      </c>
      <c r="E411" s="240">
        <v>45457</v>
      </c>
      <c r="F411" s="263">
        <v>2136.8000000000002</v>
      </c>
      <c r="G411" s="242" t="str">
        <f>IF(Tableau3453[[#This Row],[Date 
du paiement]]="",Tableau3453[[#This Row],[Montant
de la facture
CHF]],"")</f>
        <v/>
      </c>
      <c r="H411" s="243"/>
      <c r="I411" s="245">
        <v>45460</v>
      </c>
      <c r="J411" s="246">
        <v>45482</v>
      </c>
      <c r="K411" s="247" t="s">
        <v>58</v>
      </c>
      <c r="L411" s="248"/>
      <c r="M411" s="248">
        <f>IF(Tableau3453[[#This Row],[Date 
du paiement]]="",$D$4-Tableau3453[[#This Row],[Date
de la facture]],Tableau3453[[#This Row],[Date 
du paiement]]-Tableau3453[[#This Row],[Date
de la facture]])</f>
        <v>25</v>
      </c>
      <c r="N411" s="241" t="str">
        <f>IF(Tableau3453[[#This Row],[Date 
du paiement]]="",IF(Tableau3453[[#This Row],[Jours]]&lt;30,Tableau3453[[#This Row],[Montant
de la facture
CHF]],""),"")</f>
        <v/>
      </c>
      <c r="O411" s="241" t="str">
        <f>IF(Tableau3453[[#This Row],[Date 
du paiement]]="",IF(Tableau3453[[#This Row],[Jours]]&gt;30,IF(Tableau3453[[#This Row],[Jours]]&lt;60,Tableau3453[[#This Row],[Montant
de la facture
CHF]],""),""),"")</f>
        <v/>
      </c>
      <c r="P411" s="241" t="str">
        <f>IF(Tableau3453[[#This Row],[Date 
du paiement]]="",IF(Tableau3453[[#This Row],[Jours]]&gt;60,Tableau3453[[#This Row],[Montant
de la facture
CHF]],""),"")</f>
        <v/>
      </c>
      <c r="Q411" s="249"/>
      <c r="R411" s="250" t="str">
        <f>Tableau3453[[#This Row],[Solde 
ouverte
fm]]</f>
        <v/>
      </c>
      <c r="S4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2" spans="1:19" hidden="1" outlineLevel="1" x14ac:dyDescent="0.25">
      <c r="A412" s="268">
        <v>240672</v>
      </c>
      <c r="B412" s="239" t="s">
        <v>860</v>
      </c>
      <c r="C412" s="352" t="str">
        <f>IF(Tableau3453[[#This Row],[Date 
du paiement]]="",IF(Tableau3453[[#This Row],[Jours]]&gt;Tableau3453[[#This Row],[Conditions
pmt+]]+5,"oui",""),"")</f>
        <v/>
      </c>
      <c r="D412" s="262" t="s">
        <v>900</v>
      </c>
      <c r="E412" s="240">
        <v>45478</v>
      </c>
      <c r="F412" s="263">
        <v>7738.4</v>
      </c>
      <c r="G412" s="242" t="str">
        <f>IF(Tableau3453[[#This Row],[Date 
du paiement]]="",Tableau3453[[#This Row],[Montant
de la facture
CHF]],"")</f>
        <v/>
      </c>
      <c r="H412" s="243"/>
      <c r="I412" s="245">
        <v>45481</v>
      </c>
      <c r="J412" s="246">
        <v>45513</v>
      </c>
      <c r="K412" s="247" t="s">
        <v>58</v>
      </c>
      <c r="L412" s="264"/>
      <c r="M412" s="265">
        <f>IF(Tableau3453[[#This Row],[Date 
du paiement]]="",$D$4-Tableau3453[[#This Row],[Date
de la facture]],Tableau3453[[#This Row],[Date 
du paiement]]-Tableau3453[[#This Row],[Date
de la facture]])</f>
        <v>35</v>
      </c>
      <c r="N412" s="263" t="str">
        <f>IF(Tableau3453[[#This Row],[Date 
du paiement]]="",IF(Tableau3453[[#This Row],[Jours]]&lt;30,Tableau3453[[#This Row],[Montant
de la facture
CHF]],""),"")</f>
        <v/>
      </c>
      <c r="O412" s="263" t="str">
        <f>IF(Tableau3453[[#This Row],[Date 
du paiement]]="",IF(Tableau3453[[#This Row],[Jours]]&gt;30,IF(Tableau3453[[#This Row],[Jours]]&lt;60,Tableau3453[[#This Row],[Montant
de la facture
CHF]],""),""),"")</f>
        <v/>
      </c>
      <c r="P412" s="263" t="str">
        <f>IF(Tableau3453[[#This Row],[Date 
du paiement]]="",IF(Tableau3453[[#This Row],[Jours]]&gt;60,Tableau3453[[#This Row],[Montant
de la facture
CHF]],""),"")</f>
        <v/>
      </c>
      <c r="Q412" s="266"/>
      <c r="R412" s="267" t="str">
        <f>Tableau3453[[#This Row],[Solde 
ouverte
fm]]</f>
        <v/>
      </c>
      <c r="S41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3" spans="1:19" hidden="1" outlineLevel="1" x14ac:dyDescent="0.25">
      <c r="A413" s="238">
        <v>240536</v>
      </c>
      <c r="B413" s="239" t="s">
        <v>860</v>
      </c>
      <c r="C413" s="352" t="str">
        <f>IF(Tableau3453[[#This Row],[Date 
du paiement]]="",IF(Tableau3453[[#This Row],[Jours]]&gt;Tableau3453[[#This Row],[Conditions
pmt+]]+5,"oui",""),"")</f>
        <v/>
      </c>
      <c r="D413" s="251" t="s">
        <v>880</v>
      </c>
      <c r="E413" s="240">
        <v>45460</v>
      </c>
      <c r="F413" s="263">
        <v>3885.1</v>
      </c>
      <c r="G413" s="242" t="str">
        <f>IF(Tableau3453[[#This Row],[Date 
du paiement]]="",Tableau3453[[#This Row],[Montant
de la facture
CHF]],"")</f>
        <v/>
      </c>
      <c r="H413" s="243"/>
      <c r="I413" s="245">
        <v>45461</v>
      </c>
      <c r="J413" s="246">
        <v>45485</v>
      </c>
      <c r="K413" s="247" t="s">
        <v>58</v>
      </c>
      <c r="L413" s="248"/>
      <c r="M413" s="248">
        <f>IF(Tableau3453[[#This Row],[Date 
du paiement]]="",$D$4-Tableau3453[[#This Row],[Date
de la facture]],Tableau3453[[#This Row],[Date 
du paiement]]-Tableau3453[[#This Row],[Date
de la facture]])</f>
        <v>25</v>
      </c>
      <c r="N413" s="241" t="str">
        <f>IF(Tableau3453[[#This Row],[Date 
du paiement]]="",IF(Tableau3453[[#This Row],[Jours]]&lt;30,Tableau3453[[#This Row],[Montant
de la facture
CHF]],""),"")</f>
        <v/>
      </c>
      <c r="O413" s="241" t="str">
        <f>IF(Tableau3453[[#This Row],[Date 
du paiement]]="",IF(Tableau3453[[#This Row],[Jours]]&gt;30,IF(Tableau3453[[#This Row],[Jours]]&lt;60,Tableau3453[[#This Row],[Montant
de la facture
CHF]],""),""),"")</f>
        <v/>
      </c>
      <c r="P413" s="241" t="str">
        <f>IF(Tableau3453[[#This Row],[Date 
du paiement]]="",IF(Tableau3453[[#This Row],[Jours]]&gt;60,Tableau3453[[#This Row],[Montant
de la facture
CHF]],""),"")</f>
        <v/>
      </c>
      <c r="Q413" s="249"/>
      <c r="R413" s="250" t="str">
        <f>Tableau3453[[#This Row],[Solde 
ouverte
fm]]</f>
        <v/>
      </c>
      <c r="S4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4" spans="1:19" hidden="1" outlineLevel="1" x14ac:dyDescent="0.25">
      <c r="A414" s="238">
        <v>240608</v>
      </c>
      <c r="B414" s="239" t="s">
        <v>860</v>
      </c>
      <c r="C414" s="352" t="str">
        <f>IF(Tableau3453[[#This Row],[Date 
du paiement]]="",IF(Tableau3453[[#This Row],[Jours]]&gt;Tableau3453[[#This Row],[Conditions
pmt+]]+5,"oui",""),"")</f>
        <v/>
      </c>
      <c r="D414" s="251" t="s">
        <v>1032</v>
      </c>
      <c r="E414" s="240">
        <v>45460</v>
      </c>
      <c r="F414" s="263">
        <v>1075.2</v>
      </c>
      <c r="G414" s="242" t="str">
        <f>IF(Tableau3453[[#This Row],[Date 
du paiement]]="",Tableau3453[[#This Row],[Montant
de la facture
CHF]],"")</f>
        <v/>
      </c>
      <c r="H414" s="243" t="s">
        <v>1033</v>
      </c>
      <c r="I414" s="245">
        <v>45460</v>
      </c>
      <c r="J414" s="246">
        <v>45471</v>
      </c>
      <c r="K414" s="247" t="s">
        <v>1091</v>
      </c>
      <c r="L414" s="248"/>
      <c r="M414" s="248">
        <f>IF(Tableau3453[[#This Row],[Date 
du paiement]]="",$D$4-Tableau3453[[#This Row],[Date
de la facture]],Tableau3453[[#This Row],[Date 
du paiement]]-Tableau3453[[#This Row],[Date
de la facture]])</f>
        <v>11</v>
      </c>
      <c r="N414" s="241" t="str">
        <f>IF(Tableau3453[[#This Row],[Date 
du paiement]]="",IF(Tableau3453[[#This Row],[Jours]]&lt;30,Tableau3453[[#This Row],[Montant
de la facture
CHF]],""),"")</f>
        <v/>
      </c>
      <c r="O414" s="241" t="str">
        <f>IF(Tableau3453[[#This Row],[Date 
du paiement]]="",IF(Tableau3453[[#This Row],[Jours]]&gt;30,IF(Tableau3453[[#This Row],[Jours]]&lt;60,Tableau3453[[#This Row],[Montant
de la facture
CHF]],""),""),"")</f>
        <v/>
      </c>
      <c r="P414" s="241" t="str">
        <f>IF(Tableau3453[[#This Row],[Date 
du paiement]]="",IF(Tableau3453[[#This Row],[Jours]]&gt;60,Tableau3453[[#This Row],[Montant
de la facture
CHF]],""),"")</f>
        <v/>
      </c>
      <c r="Q414" s="249"/>
      <c r="R414" s="250" t="str">
        <f>Tableau3453[[#This Row],[Solde 
ouverte
fm]]</f>
        <v/>
      </c>
      <c r="S41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5" spans="1:19" hidden="1" outlineLevel="1" x14ac:dyDescent="0.25">
      <c r="A415" s="268">
        <v>240914</v>
      </c>
      <c r="B415" s="239">
        <v>30</v>
      </c>
      <c r="C415" s="352" t="str">
        <f>IF(Tableau3453[[#This Row],[Date 
du paiement]]="",IF(Tableau3453[[#This Row],[Jours]]&gt;Tableau3453[[#This Row],[Conditions
pmt+]]+5,"oui",""),"")</f>
        <v/>
      </c>
      <c r="D415" s="262" t="s">
        <v>941</v>
      </c>
      <c r="E415" s="240">
        <v>45565</v>
      </c>
      <c r="F415" s="263">
        <v>2833.85</v>
      </c>
      <c r="G415" s="396" t="str">
        <f>IF(Tableau3453[[#This Row],[Date 
du paiement]]="",Tableau3453[[#This Row],[Montant
de la facture
CHF]],"")</f>
        <v/>
      </c>
      <c r="H415" s="243"/>
      <c r="I415" s="245">
        <v>45566</v>
      </c>
      <c r="J415" s="246">
        <v>45575</v>
      </c>
      <c r="K415" s="247" t="s">
        <v>58</v>
      </c>
      <c r="L415" s="264"/>
      <c r="M415" s="265">
        <f>IF(Tableau3453[[#This Row],[Date 
du paiement]]="",$D$4-Tableau3453[[#This Row],[Date
de la facture]],Tableau3453[[#This Row],[Date 
du paiement]]-Tableau3453[[#This Row],[Date
de la facture]])</f>
        <v>10</v>
      </c>
      <c r="N415" s="263" t="str">
        <f>IF(Tableau3453[[#This Row],[Date 
du paiement]]="",IF(Tableau3453[[#This Row],[Jours]]&lt;30,Tableau3453[[#This Row],[Montant
de la facture
CHF]],""),"")</f>
        <v/>
      </c>
      <c r="O415" s="263" t="str">
        <f>IF(Tableau3453[[#This Row],[Date 
du paiement]]="",IF(Tableau3453[[#This Row],[Jours]]&gt;30,IF(Tableau3453[[#This Row],[Jours]]&lt;60,Tableau3453[[#This Row],[Montant
de la facture
CHF]],""),""),"")</f>
        <v/>
      </c>
      <c r="P415" s="263" t="str">
        <f>IF(Tableau3453[[#This Row],[Date 
du paiement]]="",IF(Tableau3453[[#This Row],[Jours]]&gt;60,Tableau3453[[#This Row],[Montant
de la facture
CHF]],""),"")</f>
        <v/>
      </c>
      <c r="Q415" s="266"/>
      <c r="R415" s="267" t="str">
        <f>Tableau3453[[#This Row],[Solde 
ouverte
fm]]</f>
        <v/>
      </c>
      <c r="S41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6" spans="1:19" hidden="1" outlineLevel="1" x14ac:dyDescent="0.25">
      <c r="A416" s="268">
        <v>240513</v>
      </c>
      <c r="B416" s="239" t="s">
        <v>860</v>
      </c>
      <c r="C416" s="352" t="str">
        <f>IF(Tableau3453[[#This Row],[Date 
du paiement]]="",IF(Tableau3453[[#This Row],[Jours]]&gt;Tableau3453[[#This Row],[Conditions
pmt+]]+5,"oui",""),"")</f>
        <v/>
      </c>
      <c r="D416" s="262" t="s">
        <v>1163</v>
      </c>
      <c r="E416" s="240">
        <v>45477</v>
      </c>
      <c r="F416" s="263">
        <v>369.3</v>
      </c>
      <c r="G416" s="242" t="str">
        <f>IF(Tableau3453[[#This Row],[Date 
du paiement]]="",Tableau3453[[#This Row],[Montant
de la facture
CHF]],"")</f>
        <v/>
      </c>
      <c r="H416" s="243"/>
      <c r="I416" s="245">
        <v>45482</v>
      </c>
      <c r="J416" s="246">
        <v>45499</v>
      </c>
      <c r="K416" s="247" t="s">
        <v>58</v>
      </c>
      <c r="L416" s="264"/>
      <c r="M416" s="265">
        <f>IF(Tableau3453[[#This Row],[Date 
du paiement]]="",$D$4-Tableau3453[[#This Row],[Date
de la facture]],Tableau3453[[#This Row],[Date 
du paiement]]-Tableau3453[[#This Row],[Date
de la facture]])</f>
        <v>22</v>
      </c>
      <c r="N416" s="263" t="str">
        <f>IF(Tableau3453[[#This Row],[Date 
du paiement]]="",IF(Tableau3453[[#This Row],[Jours]]&lt;30,Tableau3453[[#This Row],[Montant
de la facture
CHF]],""),"")</f>
        <v/>
      </c>
      <c r="O416" s="263" t="str">
        <f>IF(Tableau3453[[#This Row],[Date 
du paiement]]="",IF(Tableau3453[[#This Row],[Jours]]&gt;30,IF(Tableau3453[[#This Row],[Jours]]&lt;60,Tableau3453[[#This Row],[Montant
de la facture
CHF]],""),""),"")</f>
        <v/>
      </c>
      <c r="P416" s="263" t="str">
        <f>IF(Tableau3453[[#This Row],[Date 
du paiement]]="",IF(Tableau3453[[#This Row],[Jours]]&gt;60,Tableau3453[[#This Row],[Montant
de la facture
CHF]],""),"")</f>
        <v/>
      </c>
      <c r="Q416" s="266"/>
      <c r="R416" s="267" t="str">
        <f>Tableau3453[[#This Row],[Solde 
ouverte
fm]]</f>
        <v/>
      </c>
      <c r="S41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7" spans="1:19" hidden="1" outlineLevel="1" x14ac:dyDescent="0.25">
      <c r="A417" s="238">
        <v>240541</v>
      </c>
      <c r="B417" s="239" t="s">
        <v>857</v>
      </c>
      <c r="C417" s="352" t="str">
        <f>IF(Tableau3453[[#This Row],[Date 
du paiement]]="",IF(Tableau3453[[#This Row],[Jours]]&gt;Tableau3453[[#This Row],[Conditions
pmt+]]+5,"oui",""),"")</f>
        <v/>
      </c>
      <c r="D417" s="251" t="s">
        <v>865</v>
      </c>
      <c r="E417" s="240">
        <v>45442</v>
      </c>
      <c r="F417" s="263">
        <v>1649.8</v>
      </c>
      <c r="G417" s="242" t="str">
        <f>IF(Tableau3453[[#This Row],[Date 
du paiement]]="",Tableau3453[[#This Row],[Montant
de la facture
CHF]],"")</f>
        <v/>
      </c>
      <c r="H417" s="243"/>
      <c r="I417" s="245">
        <v>45443</v>
      </c>
      <c r="J417" s="246">
        <v>45526</v>
      </c>
      <c r="K417" s="247" t="s">
        <v>58</v>
      </c>
      <c r="L417" s="321">
        <v>2</v>
      </c>
      <c r="M417" s="248">
        <f>IF(Tableau3453[[#This Row],[Date 
du paiement]]="",$D$4-Tableau3453[[#This Row],[Date
de la facture]],Tableau3453[[#This Row],[Date 
du paiement]]-Tableau3453[[#This Row],[Date
de la facture]])</f>
        <v>84</v>
      </c>
      <c r="N417" s="241" t="str">
        <f>IF(Tableau3453[[#This Row],[Date 
du paiement]]="",IF(Tableau3453[[#This Row],[Jours]]&lt;30,Tableau3453[[#This Row],[Montant
de la facture
CHF]],""),"")</f>
        <v/>
      </c>
      <c r="O417" s="241" t="str">
        <f>IF(Tableau3453[[#This Row],[Date 
du paiement]]="",IF(Tableau3453[[#This Row],[Jours]]&gt;30,IF(Tableau3453[[#This Row],[Jours]]&lt;60,Tableau3453[[#This Row],[Montant
de la facture
CHF]],""),""),"")</f>
        <v/>
      </c>
      <c r="P417" s="241" t="str">
        <f>IF(Tableau3453[[#This Row],[Date 
du paiement]]="",IF(Tableau3453[[#This Row],[Jours]]&gt;60,Tableau3453[[#This Row],[Montant
de la facture
CHF]],""),"")</f>
        <v/>
      </c>
      <c r="Q417" s="249"/>
      <c r="R417" s="250" t="str">
        <f>Tableau3453[[#This Row],[Solde 
ouverte
fm]]</f>
        <v/>
      </c>
      <c r="S41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8" spans="1:19" hidden="1" outlineLevel="1" x14ac:dyDescent="0.25">
      <c r="A418" s="238">
        <v>240593</v>
      </c>
      <c r="B418" s="239">
        <v>30</v>
      </c>
      <c r="C418" s="352" t="str">
        <f>IF(Tableau3453[[#This Row],[Date 
du paiement]]="",IF(Tableau3453[[#This Row],[Jours]]&gt;Tableau3453[[#This Row],[Conditions
pmt+]]+5,"oui",""),"")</f>
        <v/>
      </c>
      <c r="D418" s="251" t="s">
        <v>902</v>
      </c>
      <c r="E418" s="240">
        <v>45461</v>
      </c>
      <c r="F418" s="263">
        <v>2863.6</v>
      </c>
      <c r="G418" s="242" t="str">
        <f>IF(Tableau3453[[#This Row],[Date 
du paiement]]="",Tableau3453[[#This Row],[Montant
de la facture
CHF]],"")</f>
        <v/>
      </c>
      <c r="H418" s="243"/>
      <c r="I418" s="245">
        <v>45463</v>
      </c>
      <c r="J418" s="246">
        <v>45487</v>
      </c>
      <c r="K418" s="247" t="s">
        <v>58</v>
      </c>
      <c r="L418" s="248"/>
      <c r="M418" s="248">
        <f>IF(Tableau3453[[#This Row],[Date 
du paiement]]="",$D$4-Tableau3453[[#This Row],[Date
de la facture]],Tableau3453[[#This Row],[Date 
du paiement]]-Tableau3453[[#This Row],[Date
de la facture]])</f>
        <v>26</v>
      </c>
      <c r="N418" s="241" t="str">
        <f>IF(Tableau3453[[#This Row],[Date 
du paiement]]="",IF(Tableau3453[[#This Row],[Jours]]&lt;30,Tableau3453[[#This Row],[Montant
de la facture
CHF]],""),"")</f>
        <v/>
      </c>
      <c r="O418" s="241" t="str">
        <f>IF(Tableau3453[[#This Row],[Date 
du paiement]]="",IF(Tableau3453[[#This Row],[Jours]]&gt;30,IF(Tableau3453[[#This Row],[Jours]]&lt;60,Tableau3453[[#This Row],[Montant
de la facture
CHF]],""),""),"")</f>
        <v/>
      </c>
      <c r="P418" s="241" t="str">
        <f>IF(Tableau3453[[#This Row],[Date 
du paiement]]="",IF(Tableau3453[[#This Row],[Jours]]&gt;60,Tableau3453[[#This Row],[Montant
de la facture
CHF]],""),"")</f>
        <v/>
      </c>
      <c r="Q418" s="249" t="s">
        <v>1181</v>
      </c>
      <c r="R418" s="250" t="str">
        <f>Tableau3453[[#This Row],[Solde 
ouverte
fm]]</f>
        <v/>
      </c>
      <c r="S4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19" spans="1:19" hidden="1" outlineLevel="1" x14ac:dyDescent="0.25">
      <c r="A419" s="238">
        <v>240034</v>
      </c>
      <c r="B419" s="239">
        <v>30</v>
      </c>
      <c r="C419" s="352" t="str">
        <f>IF(Tableau3453[[#This Row],[Date 
du paiement]]="",IF(Tableau3453[[#This Row],[Jours]]&gt;Tableau3453[[#This Row],[Conditions
pmt+]]+5,"oui",""),"")</f>
        <v/>
      </c>
      <c r="D419" s="251" t="s">
        <v>1009</v>
      </c>
      <c r="E419" s="240">
        <v>45461</v>
      </c>
      <c r="F419" s="263">
        <v>24745.200000000001</v>
      </c>
      <c r="G419" s="242" t="str">
        <f>IF(Tableau3453[[#This Row],[Date 
du paiement]]="",Tableau3453[[#This Row],[Montant
de la facture
CHF]],"")</f>
        <v/>
      </c>
      <c r="H419" s="243"/>
      <c r="I419" s="245">
        <v>45463</v>
      </c>
      <c r="J419" s="246">
        <v>45483</v>
      </c>
      <c r="K419" s="247" t="s">
        <v>58</v>
      </c>
      <c r="L419" s="248"/>
      <c r="M419" s="248">
        <f>IF(Tableau3453[[#This Row],[Date 
du paiement]]="",$D$4-Tableau3453[[#This Row],[Date
de la facture]],Tableau3453[[#This Row],[Date 
du paiement]]-Tableau3453[[#This Row],[Date
de la facture]])</f>
        <v>22</v>
      </c>
      <c r="N419" s="241" t="str">
        <f>IF(Tableau3453[[#This Row],[Date 
du paiement]]="",IF(Tableau3453[[#This Row],[Jours]]&lt;30,Tableau3453[[#This Row],[Montant
de la facture
CHF]],""),"")</f>
        <v/>
      </c>
      <c r="O419" s="241" t="str">
        <f>IF(Tableau3453[[#This Row],[Date 
du paiement]]="",IF(Tableau3453[[#This Row],[Jours]]&gt;30,IF(Tableau3453[[#This Row],[Jours]]&lt;60,Tableau3453[[#This Row],[Montant
de la facture
CHF]],""),""),"")</f>
        <v/>
      </c>
      <c r="P419" s="241" t="str">
        <f>IF(Tableau3453[[#This Row],[Date 
du paiement]]="",IF(Tableau3453[[#This Row],[Jours]]&gt;60,Tableau3453[[#This Row],[Montant
de la facture
CHF]],""),"")</f>
        <v/>
      </c>
      <c r="Q419" s="249"/>
      <c r="R419" s="250" t="str">
        <f>Tableau3453[[#This Row],[Solde 
ouverte
fm]]</f>
        <v/>
      </c>
      <c r="S4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0" spans="1:19" hidden="1" outlineLevel="1" x14ac:dyDescent="0.25">
      <c r="A420" s="238">
        <v>240542</v>
      </c>
      <c r="B420" s="239" t="s">
        <v>857</v>
      </c>
      <c r="C420" s="352" t="str">
        <f>IF(Tableau3453[[#This Row],[Date 
du paiement]]="",IF(Tableau3453[[#This Row],[Jours]]&gt;Tableau3453[[#This Row],[Conditions
pmt+]]+5,"oui",""),"")</f>
        <v/>
      </c>
      <c r="D420" s="238" t="s">
        <v>1042</v>
      </c>
      <c r="E420" s="240">
        <v>45443</v>
      </c>
      <c r="F420" s="263">
        <v>277.85000000000002</v>
      </c>
      <c r="G420" s="242" t="str">
        <f>IF(Tableau3453[[#This Row],[Date 
du paiement]]="",Tableau3453[[#This Row],[Montant
de la facture
CHF]],"")</f>
        <v/>
      </c>
      <c r="H420" s="243"/>
      <c r="I420" s="245">
        <v>45446</v>
      </c>
      <c r="J420" s="246">
        <v>45519</v>
      </c>
      <c r="K420" s="247" t="s">
        <v>58</v>
      </c>
      <c r="L420" s="248">
        <v>2</v>
      </c>
      <c r="M420" s="248">
        <f>IF(Tableau3453[[#This Row],[Date 
du paiement]]="",$D$4-Tableau3453[[#This Row],[Date
de la facture]],Tableau3453[[#This Row],[Date 
du paiement]]-Tableau3453[[#This Row],[Date
de la facture]])</f>
        <v>76</v>
      </c>
      <c r="N420" s="241" t="str">
        <f>IF(Tableau3453[[#This Row],[Date 
du paiement]]="",IF(Tableau3453[[#This Row],[Jours]]&lt;30,Tableau3453[[#This Row],[Montant
de la facture
CHF]],""),"")</f>
        <v/>
      </c>
      <c r="O420" s="241" t="str">
        <f>IF(Tableau3453[[#This Row],[Date 
du paiement]]="",IF(Tableau3453[[#This Row],[Jours]]&gt;30,IF(Tableau3453[[#This Row],[Jours]]&lt;60,Tableau3453[[#This Row],[Montant
de la facture
CHF]],""),""),"")</f>
        <v/>
      </c>
      <c r="P420" s="241" t="str">
        <f>IF(Tableau3453[[#This Row],[Date 
du paiement]]="",IF(Tableau3453[[#This Row],[Jours]]&gt;60,Tableau3453[[#This Row],[Montant
de la facture
CHF]],""),"")</f>
        <v/>
      </c>
      <c r="Q420" s="249"/>
      <c r="R420" s="250" t="str">
        <f>Tableau3453[[#This Row],[Solde 
ouverte
fm]]</f>
        <v/>
      </c>
      <c r="S42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1" spans="1:19" hidden="1" outlineLevel="1" x14ac:dyDescent="0.25">
      <c r="A421" s="238">
        <v>240377</v>
      </c>
      <c r="B421" s="239" t="s">
        <v>860</v>
      </c>
      <c r="C421" s="352" t="str">
        <f>IF(Tableau3453[[#This Row],[Date 
du paiement]]="",IF(Tableau3453[[#This Row],[Jours]]&gt;Tableau3453[[#This Row],[Conditions
pmt+]]+5,"oui",""),"")</f>
        <v/>
      </c>
      <c r="D421" s="251" t="s">
        <v>1016</v>
      </c>
      <c r="E421" s="240">
        <v>45449</v>
      </c>
      <c r="F421" s="263">
        <v>251.05</v>
      </c>
      <c r="G421" s="242" t="str">
        <f>IF(Tableau3453[[#This Row],[Date 
du paiement]]="",Tableau3453[[#This Row],[Montant
de la facture
CHF]],"")</f>
        <v/>
      </c>
      <c r="H421" s="243" t="s">
        <v>1296</v>
      </c>
      <c r="I421" s="245">
        <v>45449</v>
      </c>
      <c r="J421" s="246">
        <v>45525</v>
      </c>
      <c r="K421" s="247" t="s">
        <v>58</v>
      </c>
      <c r="L421" s="271">
        <v>3</v>
      </c>
      <c r="M421" s="248">
        <f>IF(Tableau3453[[#This Row],[Date 
du paiement]]="",$D$4-Tableau3453[[#This Row],[Date
de la facture]],Tableau3453[[#This Row],[Date 
du paiement]]-Tableau3453[[#This Row],[Date
de la facture]])</f>
        <v>76</v>
      </c>
      <c r="N421" s="241" t="str">
        <f>IF(Tableau3453[[#This Row],[Date 
du paiement]]="",IF(Tableau3453[[#This Row],[Jours]]&lt;30,Tableau3453[[#This Row],[Montant
de la facture
CHF]],""),"")</f>
        <v/>
      </c>
      <c r="O421" s="241" t="str">
        <f>IF(Tableau3453[[#This Row],[Date 
du paiement]]="",IF(Tableau3453[[#This Row],[Jours]]&gt;30,IF(Tableau3453[[#This Row],[Jours]]&lt;60,Tableau3453[[#This Row],[Montant
de la facture
CHF]],""),""),"")</f>
        <v/>
      </c>
      <c r="P421" s="241" t="str">
        <f>IF(Tableau3453[[#This Row],[Date 
du paiement]]="",IF(Tableau3453[[#This Row],[Jours]]&gt;60,Tableau3453[[#This Row],[Montant
de la facture
CHF]],""),"")</f>
        <v/>
      </c>
      <c r="Q421" s="249"/>
      <c r="R421" s="250" t="str">
        <f>Tableau3453[[#This Row],[Solde 
ouverte
fm]]</f>
        <v/>
      </c>
      <c r="S4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2" spans="1:19" hidden="1" outlineLevel="1" x14ac:dyDescent="0.25">
      <c r="A422" s="238">
        <v>240642</v>
      </c>
      <c r="B422" s="239" t="s">
        <v>860</v>
      </c>
      <c r="C422" s="352" t="str">
        <f>IF(Tableau3453[[#This Row],[Date 
du paiement]]="",IF(Tableau3453[[#This Row],[Jours]]&gt;Tableau3453[[#This Row],[Conditions
pmt+]]+5,"oui",""),"")</f>
        <v/>
      </c>
      <c r="D422" s="251" t="s">
        <v>1014</v>
      </c>
      <c r="E422" s="240">
        <v>45462</v>
      </c>
      <c r="F422" s="263">
        <v>7302.6</v>
      </c>
      <c r="G422" s="242" t="str">
        <f>IF(Tableau3453[[#This Row],[Date 
du paiement]]="",Tableau3453[[#This Row],[Montant
de la facture
CHF]],"")</f>
        <v/>
      </c>
      <c r="H422" s="243"/>
      <c r="I422" s="245">
        <v>45462</v>
      </c>
      <c r="J422" s="246">
        <v>45485</v>
      </c>
      <c r="K422" s="247" t="s">
        <v>58</v>
      </c>
      <c r="L422" s="248"/>
      <c r="M422" s="248">
        <f>IF(Tableau3453[[#This Row],[Date 
du paiement]]="",$D$4-Tableau3453[[#This Row],[Date
de la facture]],Tableau3453[[#This Row],[Date 
du paiement]]-Tableau3453[[#This Row],[Date
de la facture]])</f>
        <v>23</v>
      </c>
      <c r="N422" s="241" t="str">
        <f>IF(Tableau3453[[#This Row],[Date 
du paiement]]="",IF(Tableau3453[[#This Row],[Jours]]&lt;30,Tableau3453[[#This Row],[Montant
de la facture
CHF]],""),"")</f>
        <v/>
      </c>
      <c r="O422" s="241" t="str">
        <f>IF(Tableau3453[[#This Row],[Date 
du paiement]]="",IF(Tableau3453[[#This Row],[Jours]]&gt;30,IF(Tableau3453[[#This Row],[Jours]]&lt;60,Tableau3453[[#This Row],[Montant
de la facture
CHF]],""),""),"")</f>
        <v/>
      </c>
      <c r="P422" s="241" t="str">
        <f>IF(Tableau3453[[#This Row],[Date 
du paiement]]="",IF(Tableau3453[[#This Row],[Jours]]&gt;60,Tableau3453[[#This Row],[Montant
de la facture
CHF]],""),"")</f>
        <v/>
      </c>
      <c r="Q422" s="249"/>
      <c r="R422" s="250" t="str">
        <f>Tableau3453[[#This Row],[Solde 
ouverte
fm]]</f>
        <v/>
      </c>
      <c r="S4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3" spans="1:19" hidden="1" collapsed="1" x14ac:dyDescent="0.25">
      <c r="A423" s="238">
        <v>240553</v>
      </c>
      <c r="B423" s="239" t="s">
        <v>860</v>
      </c>
      <c r="C423" s="352" t="str">
        <f>IF(Tableau3453[[#This Row],[Date 
du paiement]]="",IF(Tableau3453[[#This Row],[Jours]]&gt;Tableau3453[[#This Row],[Conditions
pmt+]]+5,"oui",""),"")</f>
        <v/>
      </c>
      <c r="D423" s="251" t="s">
        <v>1016</v>
      </c>
      <c r="E423" s="240">
        <v>45455</v>
      </c>
      <c r="F423" s="263">
        <v>1435.15</v>
      </c>
      <c r="G423" s="242" t="str">
        <f>IF(Tableau3453[[#This Row],[Date 
du paiement]]="",Tableau3453[[#This Row],[Montant
de la facture
CHF]],"")</f>
        <v/>
      </c>
      <c r="H423" s="243"/>
      <c r="I423" s="245">
        <v>45455</v>
      </c>
      <c r="J423" s="246">
        <v>45483</v>
      </c>
      <c r="K423" s="247" t="s">
        <v>58</v>
      </c>
      <c r="L423" s="248"/>
      <c r="M423" s="248">
        <f>IF(Tableau3453[[#This Row],[Date 
du paiement]]="",$D$4-Tableau3453[[#This Row],[Date
de la facture]],Tableau3453[[#This Row],[Date 
du paiement]]-Tableau3453[[#This Row],[Date
de la facture]])</f>
        <v>28</v>
      </c>
      <c r="N423" s="241" t="str">
        <f>IF(Tableau3453[[#This Row],[Date 
du paiement]]="",IF(Tableau3453[[#This Row],[Jours]]&lt;30,Tableau3453[[#This Row],[Montant
de la facture
CHF]],""),"")</f>
        <v/>
      </c>
      <c r="O423" s="241" t="str">
        <f>IF(Tableau3453[[#This Row],[Date 
du paiement]]="",IF(Tableau3453[[#This Row],[Jours]]&gt;30,IF(Tableau3453[[#This Row],[Jours]]&lt;60,Tableau3453[[#This Row],[Montant
de la facture
CHF]],""),""),"")</f>
        <v/>
      </c>
      <c r="P423" s="241" t="str">
        <f>IF(Tableau3453[[#This Row],[Date 
du paiement]]="",IF(Tableau3453[[#This Row],[Jours]]&gt;60,Tableau3453[[#This Row],[Montant
de la facture
CHF]],""),"")</f>
        <v/>
      </c>
      <c r="Q423" s="249"/>
      <c r="R423" s="250" t="str">
        <f>Tableau3453[[#This Row],[Solde 
ouverte
fm]]</f>
        <v/>
      </c>
      <c r="S4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4" spans="1:19" x14ac:dyDescent="0.25">
      <c r="A424" s="473">
        <v>241013</v>
      </c>
      <c r="B424" s="454">
        <v>60</v>
      </c>
      <c r="C424" s="505" t="str">
        <f ca="1">IF(Tableau3453[[#This Row],[Date 
du paiement]]="",IF(Tableau3453[[#This Row],[Jours]]&gt;Tableau3453[[#This Row],[Conditions
pmt+]]+5,"oui",""),"")</f>
        <v/>
      </c>
      <c r="D424" s="467" t="s">
        <v>914</v>
      </c>
      <c r="E424" s="455">
        <v>45589</v>
      </c>
      <c r="F424" s="468">
        <v>233.5</v>
      </c>
      <c r="G424" s="501">
        <f>IF(Tableau3453[[#This Row],[Date 
du paiement]]="",Tableau3453[[#This Row],[Montant
de la facture
CHF]],"")</f>
        <v>233.5</v>
      </c>
      <c r="H424" s="458"/>
      <c r="I424" s="459">
        <v>45589</v>
      </c>
      <c r="J424" s="460"/>
      <c r="K424" s="461"/>
      <c r="L424" s="469"/>
      <c r="M424" s="470">
        <f ca="1">IF(Tableau3453[[#This Row],[Date 
du paiement]]="",$D$4-Tableau3453[[#This Row],[Date
de la facture]],Tableau3453[[#This Row],[Date 
du paiement]]-Tableau3453[[#This Row],[Date
de la facture]])</f>
        <v>28.46942534721893</v>
      </c>
      <c r="N424" s="468">
        <f ca="1">IF(Tableau3453[[#This Row],[Date 
du paiement]]="",IF(Tableau3453[[#This Row],[Jours]]&lt;30,Tableau3453[[#This Row],[Montant
de la facture
CHF]],""),"")</f>
        <v>233.5</v>
      </c>
      <c r="O424" s="468" t="str">
        <f ca="1">IF(Tableau3453[[#This Row],[Date 
du paiement]]="",IF(Tableau3453[[#This Row],[Jours]]&gt;30,IF(Tableau3453[[#This Row],[Jours]]&lt;60,Tableau3453[[#This Row],[Montant
de la facture
CHF]],""),""),"")</f>
        <v/>
      </c>
      <c r="P424" s="468" t="str">
        <f ca="1">IF(Tableau3453[[#This Row],[Date 
du paiement]]="",IF(Tableau3453[[#This Row],[Jours]]&gt;60,Tableau3453[[#This Row],[Montant
de la facture
CHF]],""),"")</f>
        <v/>
      </c>
      <c r="Q424" s="471"/>
      <c r="R424" s="472">
        <f>Tableau3453[[#This Row],[Solde 
ouverte
fm]]</f>
        <v>233.5</v>
      </c>
      <c r="S424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425" spans="1:19" hidden="1" x14ac:dyDescent="0.25">
      <c r="A425" s="407">
        <v>240586</v>
      </c>
      <c r="B425" s="408">
        <v>30</v>
      </c>
      <c r="C425" s="381" t="str">
        <f>IF(Tableau3453[[#This Row],[Date 
du paiement]]="",IF(Tableau3453[[#This Row],[Jours]]&gt;Tableau3453[[#This Row],[Conditions
pmt+]]+5,"oui",""),"")</f>
        <v/>
      </c>
      <c r="D425" s="409" t="s">
        <v>1009</v>
      </c>
      <c r="E425" s="383">
        <v>45463</v>
      </c>
      <c r="F425" s="384">
        <v>11964.75</v>
      </c>
      <c r="G425" s="410" t="str">
        <f>IF(Tableau3453[[#This Row],[Date 
du paiement]]="",Tableau3453[[#This Row],[Montant
de la facture
CHF]],"")</f>
        <v/>
      </c>
      <c r="H425" s="411"/>
      <c r="I425" s="386">
        <v>45463</v>
      </c>
      <c r="J425" s="387">
        <v>45483</v>
      </c>
      <c r="K425" s="388" t="s">
        <v>58</v>
      </c>
      <c r="L425" s="412"/>
      <c r="M425" s="412">
        <f>IF(Tableau3453[[#This Row],[Date 
du paiement]]="",$D$4-Tableau3453[[#This Row],[Date
de la facture]],Tableau3453[[#This Row],[Date 
du paiement]]-Tableau3453[[#This Row],[Date
de la facture]])</f>
        <v>20</v>
      </c>
      <c r="N425" s="413" t="str">
        <f>IF(Tableau3453[[#This Row],[Date 
du paiement]]="",IF(Tableau3453[[#This Row],[Jours]]&lt;30,Tableau3453[[#This Row],[Montant
de la facture
CHF]],""),"")</f>
        <v/>
      </c>
      <c r="O425" s="413" t="str">
        <f>IF(Tableau3453[[#This Row],[Date 
du paiement]]="",IF(Tableau3453[[#This Row],[Jours]]&gt;30,IF(Tableau3453[[#This Row],[Jours]]&lt;60,Tableau3453[[#This Row],[Montant
de la facture
CHF]],""),""),"")</f>
        <v/>
      </c>
      <c r="P425" s="413" t="str">
        <f>IF(Tableau3453[[#This Row],[Date 
du paiement]]="",IF(Tableau3453[[#This Row],[Jours]]&gt;60,Tableau3453[[#This Row],[Montant
de la facture
CHF]],""),"")</f>
        <v/>
      </c>
      <c r="Q425" s="414"/>
      <c r="R425" s="415" t="str">
        <f>Tableau3453[[#This Row],[Solde 
ouverte
fm]]</f>
        <v/>
      </c>
      <c r="S425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6" spans="1:19" hidden="1" x14ac:dyDescent="0.25">
      <c r="A426" s="238">
        <v>240486</v>
      </c>
      <c r="B426" s="239" t="s">
        <v>860</v>
      </c>
      <c r="C426" s="352" t="str">
        <f>IF(Tableau3453[[#This Row],[Date 
du paiement]]="",IF(Tableau3453[[#This Row],[Jours]]&gt;Tableau3453[[#This Row],[Conditions
pmt+]]+5,"oui",""),"")</f>
        <v/>
      </c>
      <c r="D426" s="251" t="s">
        <v>1044</v>
      </c>
      <c r="E426" s="240">
        <v>45463</v>
      </c>
      <c r="F426" s="263">
        <v>11184.95</v>
      </c>
      <c r="G426" s="242" t="str">
        <f>IF(Tableau3453[[#This Row],[Date 
du paiement]]="",Tableau3453[[#This Row],[Montant
de la facture
CHF]],"")</f>
        <v/>
      </c>
      <c r="H426" s="243" t="s">
        <v>1031</v>
      </c>
      <c r="I426" s="245">
        <v>45467</v>
      </c>
      <c r="J426" s="246">
        <v>45495</v>
      </c>
      <c r="K426" s="247" t="s">
        <v>58</v>
      </c>
      <c r="L426" s="248"/>
      <c r="M426" s="248">
        <f>IF(Tableau3453[[#This Row],[Date 
du paiement]]="",$D$4-Tableau3453[[#This Row],[Date
de la facture]],Tableau3453[[#This Row],[Date 
du paiement]]-Tableau3453[[#This Row],[Date
de la facture]])</f>
        <v>32</v>
      </c>
      <c r="N426" s="241" t="str">
        <f>IF(Tableau3453[[#This Row],[Date 
du paiement]]="",IF(Tableau3453[[#This Row],[Jours]]&lt;30,Tableau3453[[#This Row],[Montant
de la facture
CHF]],""),"")</f>
        <v/>
      </c>
      <c r="O426" s="241" t="str">
        <f>IF(Tableau3453[[#This Row],[Date 
du paiement]]="",IF(Tableau3453[[#This Row],[Jours]]&gt;30,IF(Tableau3453[[#This Row],[Jours]]&lt;60,Tableau3453[[#This Row],[Montant
de la facture
CHF]],""),""),"")</f>
        <v/>
      </c>
      <c r="P426" s="241" t="str">
        <f>IF(Tableau3453[[#This Row],[Date 
du paiement]]="",IF(Tableau3453[[#This Row],[Jours]]&gt;60,Tableau3453[[#This Row],[Montant
de la facture
CHF]],""),"")</f>
        <v/>
      </c>
      <c r="Q426" s="249"/>
      <c r="R426" s="250" t="str">
        <f>Tableau3453[[#This Row],[Solde 
ouverte
fm]]</f>
        <v/>
      </c>
      <c r="S4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7" spans="1:19" hidden="1" x14ac:dyDescent="0.25">
      <c r="A427" s="238">
        <v>240209</v>
      </c>
      <c r="B427" s="239" t="s">
        <v>860</v>
      </c>
      <c r="C427" s="352" t="str">
        <f>IF(Tableau3453[[#This Row],[Date 
du paiement]]="",IF(Tableau3453[[#This Row],[Jours]]&gt;Tableau3453[[#This Row],[Conditions
pmt+]]+5,"oui",""),"")</f>
        <v/>
      </c>
      <c r="D427" s="238" t="s">
        <v>911</v>
      </c>
      <c r="E427" s="240">
        <v>45436</v>
      </c>
      <c r="F427" s="263">
        <v>194.6</v>
      </c>
      <c r="G427" s="242" t="str">
        <f>IF(Tableau3453[[#This Row],[Date 
du paiement]]="",Tableau3453[[#This Row],[Montant
de la facture
CHF]],"")</f>
        <v/>
      </c>
      <c r="H427" s="243" t="s">
        <v>1209</v>
      </c>
      <c r="I427" s="245">
        <v>45436</v>
      </c>
      <c r="J427" s="246">
        <v>45518</v>
      </c>
      <c r="K427" s="247" t="s">
        <v>58</v>
      </c>
      <c r="L427" s="271">
        <v>7</v>
      </c>
      <c r="M427" s="248">
        <f>IF(Tableau3453[[#This Row],[Date 
du paiement]]="",$D$4-Tableau3453[[#This Row],[Date
de la facture]],Tableau3453[[#This Row],[Date 
du paiement]]-Tableau3453[[#This Row],[Date
de la facture]])</f>
        <v>82</v>
      </c>
      <c r="N427" s="241" t="str">
        <f>IF(Tableau3453[[#This Row],[Date 
du paiement]]="",IF(Tableau3453[[#This Row],[Jours]]&lt;30,Tableau3453[[#This Row],[Montant
de la facture
CHF]],""),"")</f>
        <v/>
      </c>
      <c r="O427" s="241" t="str">
        <f>IF(Tableau3453[[#This Row],[Date 
du paiement]]="",IF(Tableau3453[[#This Row],[Jours]]&gt;30,IF(Tableau3453[[#This Row],[Jours]]&lt;60,Tableau3453[[#This Row],[Montant
de la facture
CHF]],""),""),"")</f>
        <v/>
      </c>
      <c r="P427" s="241" t="str">
        <f>IF(Tableau3453[[#This Row],[Date 
du paiement]]="",IF(Tableau3453[[#This Row],[Jours]]&gt;60,Tableau3453[[#This Row],[Montant
de la facture
CHF]],""),"")</f>
        <v/>
      </c>
      <c r="Q427" s="249" t="s">
        <v>1333</v>
      </c>
      <c r="R427" s="250" t="str">
        <f>Tableau3453[[#This Row],[Solde 
ouverte
fm]]</f>
        <v/>
      </c>
      <c r="S4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8" spans="1:19" hidden="1" x14ac:dyDescent="0.25">
      <c r="A428" s="238">
        <v>240611</v>
      </c>
      <c r="B428" s="239" t="s">
        <v>860</v>
      </c>
      <c r="C428" s="352" t="str">
        <f>IF(Tableau3453[[#This Row],[Date 
du paiement]]="",IF(Tableau3453[[#This Row],[Jours]]&gt;Tableau3453[[#This Row],[Conditions
pmt+]]+5,"oui",""),"")</f>
        <v/>
      </c>
      <c r="D428" s="251" t="s">
        <v>1026</v>
      </c>
      <c r="E428" s="240">
        <v>45464</v>
      </c>
      <c r="F428" s="263">
        <v>3217.75</v>
      </c>
      <c r="G428" s="242" t="str">
        <f>IF(Tableau3453[[#This Row],[Date 
du paiement]]="",Tableau3453[[#This Row],[Montant
de la facture
CHF]],"")</f>
        <v/>
      </c>
      <c r="H428" s="243"/>
      <c r="I428" s="245">
        <v>45467</v>
      </c>
      <c r="J428" s="246">
        <v>45492</v>
      </c>
      <c r="K428" s="247" t="s">
        <v>58</v>
      </c>
      <c r="L428" s="248"/>
      <c r="M428" s="248">
        <f>IF(Tableau3453[[#This Row],[Date 
du paiement]]="",$D$4-Tableau3453[[#This Row],[Date
de la facture]],Tableau3453[[#This Row],[Date 
du paiement]]-Tableau3453[[#This Row],[Date
de la facture]])</f>
        <v>28</v>
      </c>
      <c r="N428" s="241" t="str">
        <f>IF(Tableau3453[[#This Row],[Date 
du paiement]]="",IF(Tableau3453[[#This Row],[Jours]]&lt;30,Tableau3453[[#This Row],[Montant
de la facture
CHF]],""),"")</f>
        <v/>
      </c>
      <c r="O428" s="241" t="str">
        <f>IF(Tableau3453[[#This Row],[Date 
du paiement]]="",IF(Tableau3453[[#This Row],[Jours]]&gt;30,IF(Tableau3453[[#This Row],[Jours]]&lt;60,Tableau3453[[#This Row],[Montant
de la facture
CHF]],""),""),"")</f>
        <v/>
      </c>
      <c r="P428" s="241" t="str">
        <f>IF(Tableau3453[[#This Row],[Date 
du paiement]]="",IF(Tableau3453[[#This Row],[Jours]]&gt;60,Tableau3453[[#This Row],[Montant
de la facture
CHF]],""),"")</f>
        <v/>
      </c>
      <c r="Q428" s="249"/>
      <c r="R428" s="250" t="str">
        <f>Tableau3453[[#This Row],[Solde 
ouverte
fm]]</f>
        <v/>
      </c>
      <c r="S4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29" spans="1:19" hidden="1" x14ac:dyDescent="0.25">
      <c r="A429" s="238">
        <v>240525</v>
      </c>
      <c r="B429" s="239" t="s">
        <v>857</v>
      </c>
      <c r="C429" s="352" t="str">
        <f>IF(Tableau3453[[#This Row],[Date 
du paiement]]="",IF(Tableau3453[[#This Row],[Jours]]&gt;Tableau3453[[#This Row],[Conditions
pmt+]]+5,"oui",""),"")</f>
        <v/>
      </c>
      <c r="D429" s="251" t="s">
        <v>1045</v>
      </c>
      <c r="E429" s="240">
        <v>45455</v>
      </c>
      <c r="F429" s="263">
        <v>10797.45</v>
      </c>
      <c r="G429" s="242" t="str">
        <f>IF(Tableau3453[[#This Row],[Date 
du paiement]]="",Tableau3453[[#This Row],[Montant
de la facture
CHF]],"")</f>
        <v/>
      </c>
      <c r="H429" s="243"/>
      <c r="I429" s="245">
        <v>45460</v>
      </c>
      <c r="J429" s="246">
        <v>45523</v>
      </c>
      <c r="K429" s="247" t="s">
        <v>58</v>
      </c>
      <c r="L429" s="248"/>
      <c r="M429" s="248">
        <f>IF(Tableau3453[[#This Row],[Date 
du paiement]]="",$D$4-Tableau3453[[#This Row],[Date
de la facture]],Tableau3453[[#This Row],[Date 
du paiement]]-Tableau3453[[#This Row],[Date
de la facture]])</f>
        <v>68</v>
      </c>
      <c r="N429" s="241" t="str">
        <f>IF(Tableau3453[[#This Row],[Date 
du paiement]]="",IF(Tableau3453[[#This Row],[Jours]]&lt;30,Tableau3453[[#This Row],[Montant
de la facture
CHF]],""),"")</f>
        <v/>
      </c>
      <c r="O429" s="241" t="str">
        <f>IF(Tableau3453[[#This Row],[Date 
du paiement]]="",IF(Tableau3453[[#This Row],[Jours]]&gt;30,IF(Tableau3453[[#This Row],[Jours]]&lt;60,Tableau3453[[#This Row],[Montant
de la facture
CHF]],""),""),"")</f>
        <v/>
      </c>
      <c r="P429" s="241" t="str">
        <f>IF(Tableau3453[[#This Row],[Date 
du paiement]]="",IF(Tableau3453[[#This Row],[Jours]]&gt;60,Tableau3453[[#This Row],[Montant
de la facture
CHF]],""),"")</f>
        <v/>
      </c>
      <c r="Q429" s="249"/>
      <c r="R429" s="250" t="str">
        <f>Tableau3453[[#This Row],[Solde 
ouverte
fm]]</f>
        <v/>
      </c>
      <c r="S42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0" spans="1:19" hidden="1" x14ac:dyDescent="0.25">
      <c r="A430" s="238">
        <v>240549</v>
      </c>
      <c r="B430" s="239" t="s">
        <v>860</v>
      </c>
      <c r="C430" s="352" t="str">
        <f>IF(Tableau3453[[#This Row],[Date 
du paiement]]="",IF(Tableau3453[[#This Row],[Jours]]&gt;Tableau3453[[#This Row],[Conditions
pmt+]]+5,"oui",""),"")</f>
        <v/>
      </c>
      <c r="D430" s="251" t="s">
        <v>861</v>
      </c>
      <c r="E430" s="240">
        <v>45450</v>
      </c>
      <c r="F430" s="263">
        <v>1730.7</v>
      </c>
      <c r="G430" s="242" t="str">
        <f>IF(Tableau3453[[#This Row],[Date 
du paiement]]="",Tableau3453[[#This Row],[Montant
de la facture
CHF]],"")</f>
        <v/>
      </c>
      <c r="H430" s="243"/>
      <c r="I430" s="245">
        <v>45453</v>
      </c>
      <c r="J430" s="246">
        <v>45513</v>
      </c>
      <c r="K430" s="247" t="s">
        <v>58</v>
      </c>
      <c r="L430" s="248">
        <v>3</v>
      </c>
      <c r="M430" s="248">
        <f>IF(Tableau3453[[#This Row],[Date 
du paiement]]="",$D$4-Tableau3453[[#This Row],[Date
de la facture]],Tableau3453[[#This Row],[Date 
du paiement]]-Tableau3453[[#This Row],[Date
de la facture]])</f>
        <v>63</v>
      </c>
      <c r="N430" s="241" t="str">
        <f>IF(Tableau3453[[#This Row],[Date 
du paiement]]="",IF(Tableau3453[[#This Row],[Jours]]&lt;30,Tableau3453[[#This Row],[Montant
de la facture
CHF]],""),"")</f>
        <v/>
      </c>
      <c r="O430" s="241" t="str">
        <f>IF(Tableau3453[[#This Row],[Date 
du paiement]]="",IF(Tableau3453[[#This Row],[Jours]]&gt;30,IF(Tableau3453[[#This Row],[Jours]]&lt;60,Tableau3453[[#This Row],[Montant
de la facture
CHF]],""),""),"")</f>
        <v/>
      </c>
      <c r="P430" s="241" t="str">
        <f>IF(Tableau3453[[#This Row],[Date 
du paiement]]="",IF(Tableau3453[[#This Row],[Jours]]&gt;60,Tableau3453[[#This Row],[Montant
de la facture
CHF]],""),"")</f>
        <v/>
      </c>
      <c r="Q430" s="249"/>
      <c r="R430" s="250" t="str">
        <f>Tableau3453[[#This Row],[Solde 
ouverte
fm]]</f>
        <v/>
      </c>
      <c r="S4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1" spans="1:19" hidden="1" x14ac:dyDescent="0.25">
      <c r="A431" s="238">
        <v>240580</v>
      </c>
      <c r="B431" s="239" t="s">
        <v>860</v>
      </c>
      <c r="C431" s="352" t="str">
        <f>IF(Tableau3453[[#This Row],[Date 
du paiement]]="",IF(Tableau3453[[#This Row],[Jours]]&gt;Tableau3453[[#This Row],[Conditions
pmt+]]+5,"oui",""),"")</f>
        <v/>
      </c>
      <c r="D431" s="251" t="s">
        <v>1117</v>
      </c>
      <c r="E431" s="240">
        <v>45455</v>
      </c>
      <c r="F431" s="263">
        <v>4192.8999999999996</v>
      </c>
      <c r="G431" s="242" t="str">
        <f>IF(Tableau3453[[#This Row],[Date 
du paiement]]="",Tableau3453[[#This Row],[Montant
de la facture
CHF]],"")</f>
        <v/>
      </c>
      <c r="H431" s="243" t="s">
        <v>1364</v>
      </c>
      <c r="I431" s="245">
        <v>45455</v>
      </c>
      <c r="J431" s="246">
        <v>45538</v>
      </c>
      <c r="K431" s="247" t="s">
        <v>58</v>
      </c>
      <c r="L431" s="271">
        <v>5</v>
      </c>
      <c r="M431" s="248">
        <f>IF(Tableau3453[[#This Row],[Date 
du paiement]]="",$D$4-Tableau3453[[#This Row],[Date
de la facture]],Tableau3453[[#This Row],[Date 
du paiement]]-Tableau3453[[#This Row],[Date
de la facture]])</f>
        <v>83</v>
      </c>
      <c r="N431" s="241" t="str">
        <f>IF(Tableau3453[[#This Row],[Date 
du paiement]]="",IF(Tableau3453[[#This Row],[Jours]]&lt;30,Tableau3453[[#This Row],[Montant
de la facture
CHF]],""),"")</f>
        <v/>
      </c>
      <c r="O431" s="241" t="str">
        <f>IF(Tableau3453[[#This Row],[Date 
du paiement]]="",IF(Tableau3453[[#This Row],[Jours]]&gt;30,IF(Tableau3453[[#This Row],[Jours]]&lt;60,Tableau3453[[#This Row],[Montant
de la facture
CHF]],""),""),"")</f>
        <v/>
      </c>
      <c r="P431" s="241" t="str">
        <f>IF(Tableau3453[[#This Row],[Date 
du paiement]]="",IF(Tableau3453[[#This Row],[Jours]]&gt;60,Tableau3453[[#This Row],[Montant
de la facture
CHF]],""),"")</f>
        <v/>
      </c>
      <c r="Q431" s="249" t="s">
        <v>1427</v>
      </c>
      <c r="R431" s="250" t="str">
        <f>Tableau3453[[#This Row],[Solde 
ouverte
fm]]</f>
        <v/>
      </c>
      <c r="S4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2" spans="1:19" hidden="1" x14ac:dyDescent="0.25">
      <c r="A432" s="238">
        <v>240606</v>
      </c>
      <c r="B432" s="239">
        <v>30</v>
      </c>
      <c r="C432" s="352" t="str">
        <f>IF(Tableau3453[[#This Row],[Date 
du paiement]]="",IF(Tableau3453[[#This Row],[Jours]]&gt;Tableau3453[[#This Row],[Conditions
pmt+]]+5,"oui",""),"")</f>
        <v/>
      </c>
      <c r="D432" s="251" t="s">
        <v>963</v>
      </c>
      <c r="E432" s="240">
        <v>45462</v>
      </c>
      <c r="F432" s="263">
        <v>2022.8</v>
      </c>
      <c r="G432" s="242" t="str">
        <f>IF(Tableau3453[[#This Row],[Date 
du paiement]]="",Tableau3453[[#This Row],[Montant
de la facture
CHF]],"")</f>
        <v/>
      </c>
      <c r="H432" s="243"/>
      <c r="I432" s="245">
        <v>45463</v>
      </c>
      <c r="J432" s="246">
        <v>45512</v>
      </c>
      <c r="K432" s="247" t="s">
        <v>58</v>
      </c>
      <c r="L432" s="248"/>
      <c r="M432" s="248">
        <f>IF(Tableau3453[[#This Row],[Date 
du paiement]]="",$D$4-Tableau3453[[#This Row],[Date
de la facture]],Tableau3453[[#This Row],[Date 
du paiement]]-Tableau3453[[#This Row],[Date
de la facture]])</f>
        <v>50</v>
      </c>
      <c r="N432" s="241" t="str">
        <f>IF(Tableau3453[[#This Row],[Date 
du paiement]]="",IF(Tableau3453[[#This Row],[Jours]]&lt;30,Tableau3453[[#This Row],[Montant
de la facture
CHF]],""),"")</f>
        <v/>
      </c>
      <c r="O432" s="241" t="str">
        <f>IF(Tableau3453[[#This Row],[Date 
du paiement]]="",IF(Tableau3453[[#This Row],[Jours]]&gt;30,IF(Tableau3453[[#This Row],[Jours]]&lt;60,Tableau3453[[#This Row],[Montant
de la facture
CHF]],""),""),"")</f>
        <v/>
      </c>
      <c r="P432" s="241" t="str">
        <f>IF(Tableau3453[[#This Row],[Date 
du paiement]]="",IF(Tableau3453[[#This Row],[Jours]]&gt;60,Tableau3453[[#This Row],[Montant
de la facture
CHF]],""),"")</f>
        <v/>
      </c>
      <c r="Q432" s="249"/>
      <c r="R432" s="250" t="str">
        <f>Tableau3453[[#This Row],[Solde 
ouverte
fm]]</f>
        <v/>
      </c>
      <c r="S4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3" spans="1:19" hidden="1" x14ac:dyDescent="0.25">
      <c r="A433" s="238">
        <v>240583</v>
      </c>
      <c r="B433" s="239" t="s">
        <v>870</v>
      </c>
      <c r="C433" s="352" t="str">
        <f>IF(Tableau3453[[#This Row],[Date 
du paiement]]="",IF(Tableau3453[[#This Row],[Jours]]&gt;Tableau3453[[#This Row],[Conditions
pmt+]]+5,"oui",""),"")</f>
        <v/>
      </c>
      <c r="D433" s="251" t="s">
        <v>1038</v>
      </c>
      <c r="E433" s="240">
        <v>45467</v>
      </c>
      <c r="F433" s="263">
        <v>833.45</v>
      </c>
      <c r="G433" s="242" t="str">
        <f>IF(Tableau3453[[#This Row],[Date 
du paiement]]="",Tableau3453[[#This Row],[Montant
de la facture
CHF]],"")</f>
        <v/>
      </c>
      <c r="H433" s="243"/>
      <c r="I433" s="245">
        <v>45468</v>
      </c>
      <c r="J433" s="246">
        <v>45463</v>
      </c>
      <c r="K433" s="247" t="s">
        <v>58</v>
      </c>
      <c r="L433" s="248"/>
      <c r="M433" s="248">
        <f>IF(Tableau3453[[#This Row],[Date 
du paiement]]="",$D$4-Tableau3453[[#This Row],[Date
de la facture]],Tableau3453[[#This Row],[Date 
du paiement]]-Tableau3453[[#This Row],[Date
de la facture]])</f>
        <v>-4</v>
      </c>
      <c r="N433" s="241" t="str">
        <f>IF(Tableau3453[[#This Row],[Date 
du paiement]]="",IF(Tableau3453[[#This Row],[Jours]]&lt;30,Tableau3453[[#This Row],[Montant
de la facture
CHF]],""),"")</f>
        <v/>
      </c>
      <c r="O433" s="241" t="str">
        <f>IF(Tableau3453[[#This Row],[Date 
du paiement]]="",IF(Tableau3453[[#This Row],[Jours]]&gt;30,IF(Tableau3453[[#This Row],[Jours]]&lt;60,Tableau3453[[#This Row],[Montant
de la facture
CHF]],""),""),"")</f>
        <v/>
      </c>
      <c r="P433" s="241" t="str">
        <f>IF(Tableau3453[[#This Row],[Date 
du paiement]]="",IF(Tableau3453[[#This Row],[Jours]]&gt;60,Tableau3453[[#This Row],[Montant
de la facture
CHF]],""),"")</f>
        <v/>
      </c>
      <c r="Q433" s="249"/>
      <c r="R433" s="267" t="str">
        <f>Tableau3453[[#This Row],[Solde 
ouverte
fm]]</f>
        <v/>
      </c>
      <c r="S43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4" spans="1:19" hidden="1" x14ac:dyDescent="0.25">
      <c r="A434" s="238">
        <v>240630</v>
      </c>
      <c r="B434" s="239" t="s">
        <v>860</v>
      </c>
      <c r="C434" s="352" t="str">
        <f>IF(Tableau3453[[#This Row],[Date 
du paiement]]="",IF(Tableau3453[[#This Row],[Jours]]&gt;Tableau3453[[#This Row],[Conditions
pmt+]]+5,"oui",""),"")</f>
        <v/>
      </c>
      <c r="D434" s="251" t="s">
        <v>1043</v>
      </c>
      <c r="E434" s="240">
        <v>45468</v>
      </c>
      <c r="F434" s="263">
        <v>147.69999999999999</v>
      </c>
      <c r="G434" s="242" t="str">
        <f>IF(Tableau3453[[#This Row],[Date 
du paiement]]="",Tableau3453[[#This Row],[Montant
de la facture
CHF]],"")</f>
        <v/>
      </c>
      <c r="H434" s="243"/>
      <c r="I434" s="245">
        <v>45468</v>
      </c>
      <c r="J434" s="246">
        <v>45475</v>
      </c>
      <c r="K434" s="247" t="s">
        <v>58</v>
      </c>
      <c r="L434" s="248"/>
      <c r="M434" s="248">
        <f>IF(Tableau3453[[#This Row],[Date 
du paiement]]="",$D$4-Tableau3453[[#This Row],[Date
de la facture]],Tableau3453[[#This Row],[Date 
du paiement]]-Tableau3453[[#This Row],[Date
de la facture]])</f>
        <v>7</v>
      </c>
      <c r="N434" s="241" t="str">
        <f>IF(Tableau3453[[#This Row],[Date 
du paiement]]="",IF(Tableau3453[[#This Row],[Jours]]&lt;30,Tableau3453[[#This Row],[Montant
de la facture
CHF]],""),"")</f>
        <v/>
      </c>
      <c r="O434" s="241" t="str">
        <f>IF(Tableau3453[[#This Row],[Date 
du paiement]]="",IF(Tableau3453[[#This Row],[Jours]]&gt;30,IF(Tableau3453[[#This Row],[Jours]]&lt;60,Tableau3453[[#This Row],[Montant
de la facture
CHF]],""),""),"")</f>
        <v/>
      </c>
      <c r="P434" s="241" t="str">
        <f>IF(Tableau3453[[#This Row],[Date 
du paiement]]="",IF(Tableau3453[[#This Row],[Jours]]&gt;60,Tableau3453[[#This Row],[Montant
de la facture
CHF]],""),"")</f>
        <v/>
      </c>
      <c r="Q434" s="249"/>
      <c r="R434" s="250" t="str">
        <f>Tableau3453[[#This Row],[Solde 
ouverte
fm]]</f>
        <v/>
      </c>
      <c r="S4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5" spans="1:19" hidden="1" x14ac:dyDescent="0.25">
      <c r="A435" s="268">
        <v>240858</v>
      </c>
      <c r="B435" s="239" t="s">
        <v>860</v>
      </c>
      <c r="C435" s="352" t="str">
        <f>IF(Tableau3453[[#This Row],[Date 
du paiement]]="",IF(Tableau3453[[#This Row],[Jours]]&gt;Tableau3453[[#This Row],[Conditions
pmt+]]+5,"oui",""),"")</f>
        <v/>
      </c>
      <c r="D435" s="262" t="s">
        <v>863</v>
      </c>
      <c r="E435" s="240">
        <v>45544</v>
      </c>
      <c r="F435" s="263">
        <v>506.9</v>
      </c>
      <c r="G435" s="242" t="str">
        <f>IF(Tableau3453[[#This Row],[Date 
du paiement]]="",Tableau3453[[#This Row],[Montant
de la facture
CHF]],"")</f>
        <v/>
      </c>
      <c r="H435" s="243" t="s">
        <v>1711</v>
      </c>
      <c r="I435" s="245">
        <v>45545</v>
      </c>
      <c r="J435" s="246">
        <v>45596</v>
      </c>
      <c r="K435" s="247" t="s">
        <v>58</v>
      </c>
      <c r="L435" s="264">
        <v>3</v>
      </c>
      <c r="M435" s="265">
        <f>IF(Tableau3453[[#This Row],[Date 
du paiement]]="",$D$4-Tableau3453[[#This Row],[Date
de la facture]],Tableau3453[[#This Row],[Date 
du paiement]]-Tableau3453[[#This Row],[Date
de la facture]])</f>
        <v>52</v>
      </c>
      <c r="N435" s="263" t="str">
        <f>IF(Tableau3453[[#This Row],[Date 
du paiement]]="",IF(Tableau3453[[#This Row],[Jours]]&lt;30,Tableau3453[[#This Row],[Montant
de la facture
CHF]],""),"")</f>
        <v/>
      </c>
      <c r="O435" s="263" t="str">
        <f>IF(Tableau3453[[#This Row],[Date 
du paiement]]="",IF(Tableau3453[[#This Row],[Jours]]&gt;30,IF(Tableau3453[[#This Row],[Jours]]&lt;60,Tableau3453[[#This Row],[Montant
de la facture
CHF]],""),""),"")</f>
        <v/>
      </c>
      <c r="P435" s="263" t="str">
        <f>IF(Tableau3453[[#This Row],[Date 
du paiement]]="",IF(Tableau3453[[#This Row],[Jours]]&gt;60,Tableau3453[[#This Row],[Montant
de la facture
CHF]],""),"")</f>
        <v/>
      </c>
      <c r="Q435" s="266"/>
      <c r="R435" s="267" t="str">
        <f>Tableau3453[[#This Row],[Solde 
ouverte
fm]]</f>
        <v/>
      </c>
      <c r="S4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6" spans="1:19" hidden="1" x14ac:dyDescent="0.25">
      <c r="A436" s="380">
        <v>240613</v>
      </c>
      <c r="B436" s="408">
        <v>30</v>
      </c>
      <c r="C436" s="381" t="str">
        <f>IF(Tableau3453[[#This Row],[Date 
du paiement]]="",IF(Tableau3453[[#This Row],[Jours]]&gt;Tableau3453[[#This Row],[Conditions
pmt+]]+5,"oui",""),"")</f>
        <v/>
      </c>
      <c r="D436" s="382" t="s">
        <v>927</v>
      </c>
      <c r="E436" s="383">
        <v>45468</v>
      </c>
      <c r="F436" s="384">
        <v>519.35</v>
      </c>
      <c r="G436" s="410" t="str">
        <f>IF(Tableau3453[[#This Row],[Date 
du paiement]]="",Tableau3453[[#This Row],[Montant
de la facture
CHF]],"")</f>
        <v/>
      </c>
      <c r="H436" s="411"/>
      <c r="I436" s="386">
        <v>45470</v>
      </c>
      <c r="J436" s="387">
        <v>45490</v>
      </c>
      <c r="K436" s="388" t="s">
        <v>58</v>
      </c>
      <c r="L436" s="389"/>
      <c r="M436" s="390">
        <f>IF(Tableau3453[[#This Row],[Date 
du paiement]]="",$D$4-Tableau3453[[#This Row],[Date
de la facture]],Tableau3453[[#This Row],[Date 
du paiement]]-Tableau3453[[#This Row],[Date
de la facture]])</f>
        <v>22</v>
      </c>
      <c r="N436" s="384" t="str">
        <f>IF(Tableau3453[[#This Row],[Date 
du paiement]]="",IF(Tableau3453[[#This Row],[Jours]]&lt;30,Tableau3453[[#This Row],[Montant
de la facture
CHF]],""),"")</f>
        <v/>
      </c>
      <c r="O436" s="384" t="str">
        <f>IF(Tableau3453[[#This Row],[Date 
du paiement]]="",IF(Tableau3453[[#This Row],[Jours]]&gt;30,IF(Tableau3453[[#This Row],[Jours]]&lt;60,Tableau3453[[#This Row],[Montant
de la facture
CHF]],""),""),"")</f>
        <v/>
      </c>
      <c r="P436" s="384" t="str">
        <f>IF(Tableau3453[[#This Row],[Date 
du paiement]]="",IF(Tableau3453[[#This Row],[Jours]]&gt;60,Tableau3453[[#This Row],[Montant
de la facture
CHF]],""),"")</f>
        <v/>
      </c>
      <c r="Q436" s="416"/>
      <c r="R436" s="391" t="str">
        <f>Tableau3453[[#This Row],[Solde 
ouverte
fm]]</f>
        <v/>
      </c>
      <c r="S436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7" spans="1:19" hidden="1" x14ac:dyDescent="0.25">
      <c r="A437" s="238">
        <v>240309</v>
      </c>
      <c r="B437" s="239" t="s">
        <v>860</v>
      </c>
      <c r="C437" s="352" t="str">
        <f>IF(Tableau3453[[#This Row],[Date 
du paiement]]="",IF(Tableau3453[[#This Row],[Jours]]&gt;Tableau3453[[#This Row],[Conditions
pmt+]]+5,"oui",""),"")</f>
        <v/>
      </c>
      <c r="D437" s="251" t="s">
        <v>1014</v>
      </c>
      <c r="E437" s="240">
        <v>45456</v>
      </c>
      <c r="F437" s="263">
        <v>3916.35</v>
      </c>
      <c r="G437" s="242" t="str">
        <f>IF(Tableau3453[[#This Row],[Date 
du paiement]]="",Tableau3453[[#This Row],[Montant
de la facture
CHF]],"")</f>
        <v/>
      </c>
      <c r="H437" s="243" t="s">
        <v>1264</v>
      </c>
      <c r="I437" s="245">
        <v>45457</v>
      </c>
      <c r="J437" s="246">
        <v>45527</v>
      </c>
      <c r="K437" s="247" t="s">
        <v>58</v>
      </c>
      <c r="L437" s="321">
        <v>3</v>
      </c>
      <c r="M437" s="248">
        <f>IF(Tableau3453[[#This Row],[Date 
du paiement]]="",$D$4-Tableau3453[[#This Row],[Date
de la facture]],Tableau3453[[#This Row],[Date 
du paiement]]-Tableau3453[[#This Row],[Date
de la facture]])</f>
        <v>71</v>
      </c>
      <c r="N437" s="241" t="str">
        <f>IF(Tableau3453[[#This Row],[Date 
du paiement]]="",IF(Tableau3453[[#This Row],[Jours]]&lt;30,Tableau3453[[#This Row],[Montant
de la facture
CHF]],""),"")</f>
        <v/>
      </c>
      <c r="O437" s="241" t="str">
        <f>IF(Tableau3453[[#This Row],[Date 
du paiement]]="",IF(Tableau3453[[#This Row],[Jours]]&gt;30,IF(Tableau3453[[#This Row],[Jours]]&lt;60,Tableau3453[[#This Row],[Montant
de la facture
CHF]],""),""),"")</f>
        <v/>
      </c>
      <c r="P437" s="241" t="str">
        <f>IF(Tableau3453[[#This Row],[Date 
du paiement]]="",IF(Tableau3453[[#This Row],[Jours]]&gt;60,Tableau3453[[#This Row],[Montant
de la facture
CHF]],""),"")</f>
        <v/>
      </c>
      <c r="Q437" s="249" t="s">
        <v>1357</v>
      </c>
      <c r="R437" s="250" t="str">
        <f>Tableau3453[[#This Row],[Solde 
ouverte
fm]]</f>
        <v/>
      </c>
      <c r="S43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8" spans="1:19" hidden="1" x14ac:dyDescent="0.25">
      <c r="A438" s="238">
        <v>240591</v>
      </c>
      <c r="B438" s="239">
        <v>30</v>
      </c>
      <c r="C438" s="352" t="str">
        <f>IF(Tableau3453[[#This Row],[Date 
du paiement]]="",IF(Tableau3453[[#This Row],[Jours]]&gt;Tableau3453[[#This Row],[Conditions
pmt+]]+5,"oui",""),"")</f>
        <v/>
      </c>
      <c r="D438" s="251" t="s">
        <v>1010</v>
      </c>
      <c r="E438" s="240">
        <v>45462</v>
      </c>
      <c r="F438" s="263">
        <v>2285.5</v>
      </c>
      <c r="G438" s="242" t="str">
        <f>IF(Tableau3453[[#This Row],[Date 
du paiement]]="",Tableau3453[[#This Row],[Montant
de la facture
CHF]],"")</f>
        <v/>
      </c>
      <c r="H438" s="243"/>
      <c r="I438" s="245">
        <v>45463</v>
      </c>
      <c r="J438" s="246">
        <v>45518</v>
      </c>
      <c r="K438" s="247" t="s">
        <v>58</v>
      </c>
      <c r="L438" s="248">
        <v>2</v>
      </c>
      <c r="M438" s="248">
        <f>IF(Tableau3453[[#This Row],[Date 
du paiement]]="",$D$4-Tableau3453[[#This Row],[Date
de la facture]],Tableau3453[[#This Row],[Date 
du paiement]]-Tableau3453[[#This Row],[Date
de la facture]])</f>
        <v>56</v>
      </c>
      <c r="N438" s="241" t="str">
        <f>IF(Tableau3453[[#This Row],[Date 
du paiement]]="",IF(Tableau3453[[#This Row],[Jours]]&lt;30,Tableau3453[[#This Row],[Montant
de la facture
CHF]],""),"")</f>
        <v/>
      </c>
      <c r="O438" s="241" t="str">
        <f>IF(Tableau3453[[#This Row],[Date 
du paiement]]="",IF(Tableau3453[[#This Row],[Jours]]&gt;30,IF(Tableau3453[[#This Row],[Jours]]&lt;60,Tableau3453[[#This Row],[Montant
de la facture
CHF]],""),""),"")</f>
        <v/>
      </c>
      <c r="P438" s="241" t="str">
        <f>IF(Tableau3453[[#This Row],[Date 
du paiement]]="",IF(Tableau3453[[#This Row],[Jours]]&gt;60,Tableau3453[[#This Row],[Montant
de la facture
CHF]],""),"")</f>
        <v/>
      </c>
      <c r="Q438" s="249"/>
      <c r="R438" s="250" t="str">
        <f>Tableau3453[[#This Row],[Solde 
ouverte
fm]]</f>
        <v/>
      </c>
      <c r="S43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39" spans="1:19" hidden="1" x14ac:dyDescent="0.25">
      <c r="A439" s="268">
        <v>240619</v>
      </c>
      <c r="B439" s="239">
        <v>30</v>
      </c>
      <c r="C439" s="352" t="str">
        <f>IF(Tableau3453[[#This Row],[Date 
du paiement]]="",IF(Tableau3453[[#This Row],[Jours]]&gt;Tableau3453[[#This Row],[Conditions
pmt+]]+5,"oui",""),"")</f>
        <v/>
      </c>
      <c r="D439" s="262" t="s">
        <v>880</v>
      </c>
      <c r="E439" s="240">
        <v>45469</v>
      </c>
      <c r="F439" s="263">
        <v>5575.55</v>
      </c>
      <c r="G439" s="242" t="str">
        <f>IF(Tableau3453[[#This Row],[Date 
du paiement]]="",Tableau3453[[#This Row],[Montant
de la facture
CHF]],"")</f>
        <v/>
      </c>
      <c r="H439" s="243"/>
      <c r="I439" s="245">
        <v>45470</v>
      </c>
      <c r="J439" s="246">
        <v>45496</v>
      </c>
      <c r="K439" s="247" t="s">
        <v>58</v>
      </c>
      <c r="L439" s="264"/>
      <c r="M439" s="265">
        <f>IF(Tableau3453[[#This Row],[Date 
du paiement]]="",$D$4-Tableau3453[[#This Row],[Date
de la facture]],Tableau3453[[#This Row],[Date 
du paiement]]-Tableau3453[[#This Row],[Date
de la facture]])</f>
        <v>27</v>
      </c>
      <c r="N439" s="263" t="str">
        <f>IF(Tableau3453[[#This Row],[Date 
du paiement]]="",IF(Tableau3453[[#This Row],[Jours]]&lt;30,Tableau3453[[#This Row],[Montant
de la facture
CHF]],""),"")</f>
        <v/>
      </c>
      <c r="O439" s="263" t="str">
        <f>IF(Tableau3453[[#This Row],[Date 
du paiement]]="",IF(Tableau3453[[#This Row],[Jours]]&gt;30,IF(Tableau3453[[#This Row],[Jours]]&lt;60,Tableau3453[[#This Row],[Montant
de la facture
CHF]],""),""),"")</f>
        <v/>
      </c>
      <c r="P439" s="263" t="str">
        <f>IF(Tableau3453[[#This Row],[Date 
du paiement]]="",IF(Tableau3453[[#This Row],[Jours]]&gt;60,Tableau3453[[#This Row],[Montant
de la facture
CHF]],""),"")</f>
        <v/>
      </c>
      <c r="Q439" s="266"/>
      <c r="R439" s="267" t="str">
        <f>Tableau3453[[#This Row],[Solde 
ouverte
fm]]</f>
        <v/>
      </c>
      <c r="S4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0" spans="1:19" hidden="1" x14ac:dyDescent="0.25">
      <c r="A440" s="268">
        <v>240638</v>
      </c>
      <c r="B440" s="239">
        <v>30</v>
      </c>
      <c r="C440" s="352" t="str">
        <f>IF(Tableau3453[[#This Row],[Date 
du paiement]]="",IF(Tableau3453[[#This Row],[Jours]]&gt;Tableau3453[[#This Row],[Conditions
pmt+]]+5,"oui",""),"")</f>
        <v/>
      </c>
      <c r="D440" s="262" t="s">
        <v>880</v>
      </c>
      <c r="E440" s="240">
        <v>45469</v>
      </c>
      <c r="F440" s="263">
        <v>3885.1</v>
      </c>
      <c r="G440" s="242" t="str">
        <f>IF(Tableau3453[[#This Row],[Date 
du paiement]]="",Tableau3453[[#This Row],[Montant
de la facture
CHF]],"")</f>
        <v/>
      </c>
      <c r="H440" s="243"/>
      <c r="I440" s="245">
        <v>45470</v>
      </c>
      <c r="J440" s="246">
        <v>45496</v>
      </c>
      <c r="K440" s="247" t="s">
        <v>58</v>
      </c>
      <c r="L440" s="264"/>
      <c r="M440" s="265">
        <f>IF(Tableau3453[[#This Row],[Date 
du paiement]]="",$D$4-Tableau3453[[#This Row],[Date
de la facture]],Tableau3453[[#This Row],[Date 
du paiement]]-Tableau3453[[#This Row],[Date
de la facture]])</f>
        <v>27</v>
      </c>
      <c r="N440" s="263" t="str">
        <f>IF(Tableau3453[[#This Row],[Date 
du paiement]]="",IF(Tableau3453[[#This Row],[Jours]]&lt;30,Tableau3453[[#This Row],[Montant
de la facture
CHF]],""),"")</f>
        <v/>
      </c>
      <c r="O440" s="263" t="str">
        <f>IF(Tableau3453[[#This Row],[Date 
du paiement]]="",IF(Tableau3453[[#This Row],[Jours]]&gt;30,IF(Tableau3453[[#This Row],[Jours]]&lt;60,Tableau3453[[#This Row],[Montant
de la facture
CHF]],""),""),"")</f>
        <v/>
      </c>
      <c r="P440" s="263" t="str">
        <f>IF(Tableau3453[[#This Row],[Date 
du paiement]]="",IF(Tableau3453[[#This Row],[Jours]]&gt;60,Tableau3453[[#This Row],[Montant
de la facture
CHF]],""),"")</f>
        <v/>
      </c>
      <c r="Q440" s="266"/>
      <c r="R440" s="267" t="str">
        <f>Tableau3453[[#This Row],[Solde 
ouverte
fm]]</f>
        <v/>
      </c>
      <c r="S44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1" spans="1:19" hidden="1" x14ac:dyDescent="0.25">
      <c r="A441" s="238">
        <v>240602</v>
      </c>
      <c r="B441" s="239" t="s">
        <v>860</v>
      </c>
      <c r="C441" s="352" t="str">
        <f>IF(Tableau3453[[#This Row],[Date 
du paiement]]="",IF(Tableau3453[[#This Row],[Jours]]&gt;Tableau3453[[#This Row],[Conditions
pmt+]]+5,"oui",""),"")</f>
        <v/>
      </c>
      <c r="D441" s="262" t="s">
        <v>1184</v>
      </c>
      <c r="E441" s="240">
        <v>45457</v>
      </c>
      <c r="F441" s="263">
        <v>195.3</v>
      </c>
      <c r="G441" s="242" t="str">
        <f>IF(Tableau3453[[#This Row],[Date 
du paiement]]="",Tableau3453[[#This Row],[Montant
de la facture
CHF]],"")</f>
        <v/>
      </c>
      <c r="H441" s="243"/>
      <c r="I441" s="245">
        <v>45460</v>
      </c>
      <c r="J441" s="246">
        <v>45523</v>
      </c>
      <c r="K441" s="247" t="s">
        <v>58</v>
      </c>
      <c r="L441" s="248">
        <v>3</v>
      </c>
      <c r="M441" s="248">
        <f>IF(Tableau3453[[#This Row],[Date 
du paiement]]="",$D$4-Tableau3453[[#This Row],[Date
de la facture]],Tableau3453[[#This Row],[Date 
du paiement]]-Tableau3453[[#This Row],[Date
de la facture]])</f>
        <v>66</v>
      </c>
      <c r="N441" s="241" t="str">
        <f>IF(Tableau3453[[#This Row],[Date 
du paiement]]="",IF(Tableau3453[[#This Row],[Jours]]&lt;30,Tableau3453[[#This Row],[Montant
de la facture
CHF]],""),"")</f>
        <v/>
      </c>
      <c r="O441" s="241" t="str">
        <f>IF(Tableau3453[[#This Row],[Date 
du paiement]]="",IF(Tableau3453[[#This Row],[Jours]]&gt;30,IF(Tableau3453[[#This Row],[Jours]]&lt;60,Tableau3453[[#This Row],[Montant
de la facture
CHF]],""),""),"")</f>
        <v/>
      </c>
      <c r="P441" s="241" t="str">
        <f>IF(Tableau3453[[#This Row],[Date 
du paiement]]="",IF(Tableau3453[[#This Row],[Jours]]&gt;60,Tableau3453[[#This Row],[Montant
de la facture
CHF]],""),"")</f>
        <v/>
      </c>
      <c r="Q441" s="249"/>
      <c r="R441" s="250" t="str">
        <f>Tableau3453[[#This Row],[Solde 
ouverte
fm]]</f>
        <v/>
      </c>
      <c r="S44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2" spans="1:19" hidden="1" x14ac:dyDescent="0.25">
      <c r="A442" s="268">
        <v>240622</v>
      </c>
      <c r="B442" s="239" t="s">
        <v>860</v>
      </c>
      <c r="C442" s="352" t="str">
        <f>IF(Tableau3453[[#This Row],[Date 
du paiement]]="",IF(Tableau3453[[#This Row],[Jours]]&gt;Tableau3453[[#This Row],[Conditions
pmt+]]+5,"oui",""),"")</f>
        <v/>
      </c>
      <c r="D442" s="262" t="s">
        <v>885</v>
      </c>
      <c r="E442" s="240">
        <v>45469</v>
      </c>
      <c r="F442" s="263">
        <v>1774.55</v>
      </c>
      <c r="G442" s="242" t="str">
        <f>IF(Tableau3453[[#This Row],[Date 
du paiement]]="",Tableau3453[[#This Row],[Montant
de la facture
CHF]],"")</f>
        <v/>
      </c>
      <c r="H442" s="243"/>
      <c r="I442" s="245">
        <v>45470</v>
      </c>
      <c r="J442" s="246">
        <v>45476</v>
      </c>
      <c r="K442" s="247" t="s">
        <v>58</v>
      </c>
      <c r="L442" s="264"/>
      <c r="M442" s="265">
        <f>IF(Tableau3453[[#This Row],[Date 
du paiement]]="",$D$4-Tableau3453[[#This Row],[Date
de la facture]],Tableau3453[[#This Row],[Date 
du paiement]]-Tableau3453[[#This Row],[Date
de la facture]])</f>
        <v>7</v>
      </c>
      <c r="N442" s="263" t="str">
        <f>IF(Tableau3453[[#This Row],[Date 
du paiement]]="",IF(Tableau3453[[#This Row],[Jours]]&lt;30,Tableau3453[[#This Row],[Montant
de la facture
CHF]],""),"")</f>
        <v/>
      </c>
      <c r="O442" s="263" t="str">
        <f>IF(Tableau3453[[#This Row],[Date 
du paiement]]="",IF(Tableau3453[[#This Row],[Jours]]&gt;30,IF(Tableau3453[[#This Row],[Jours]]&lt;60,Tableau3453[[#This Row],[Montant
de la facture
CHF]],""),""),"")</f>
        <v/>
      </c>
      <c r="P442" s="263" t="str">
        <f>IF(Tableau3453[[#This Row],[Date 
du paiement]]="",IF(Tableau3453[[#This Row],[Jours]]&gt;60,Tableau3453[[#This Row],[Montant
de la facture
CHF]],""),"")</f>
        <v/>
      </c>
      <c r="Q442" s="266"/>
      <c r="R442" s="267" t="str">
        <f>Tableau3453[[#This Row],[Solde 
ouverte
fm]]</f>
        <v/>
      </c>
      <c r="S44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3" spans="1:19" hidden="1" x14ac:dyDescent="0.25">
      <c r="A443" s="268">
        <v>240601</v>
      </c>
      <c r="B443" s="239">
        <v>30</v>
      </c>
      <c r="C443" s="352" t="str">
        <f>IF(Tableau3453[[#This Row],[Date 
du paiement]]="",IF(Tableau3453[[#This Row],[Jours]]&gt;Tableau3453[[#This Row],[Conditions
pmt+]]+5,"oui",""),"")</f>
        <v/>
      </c>
      <c r="D443" s="262" t="s">
        <v>941</v>
      </c>
      <c r="E443" s="240">
        <v>45469</v>
      </c>
      <c r="F443" s="263">
        <v>3665.05</v>
      </c>
      <c r="G443" s="242" t="str">
        <f>IF(Tableau3453[[#This Row],[Date 
du paiement]]="",Tableau3453[[#This Row],[Montant
de la facture
CHF]],"")</f>
        <v/>
      </c>
      <c r="H443" s="243"/>
      <c r="I443" s="245">
        <v>45469</v>
      </c>
      <c r="J443" s="246">
        <v>45471</v>
      </c>
      <c r="K443" s="247" t="s">
        <v>58</v>
      </c>
      <c r="L443" s="264"/>
      <c r="M443" s="265">
        <f>IF(Tableau3453[[#This Row],[Date 
du paiement]]="",$D$4-Tableau3453[[#This Row],[Date
de la facture]],Tableau3453[[#This Row],[Date 
du paiement]]-Tableau3453[[#This Row],[Date
de la facture]])</f>
        <v>2</v>
      </c>
      <c r="N443" s="263" t="str">
        <f>IF(Tableau3453[[#This Row],[Date 
du paiement]]="",IF(Tableau3453[[#This Row],[Jours]]&lt;30,Tableau3453[[#This Row],[Montant
de la facture
CHF]],""),"")</f>
        <v/>
      </c>
      <c r="O443" s="263" t="str">
        <f>IF(Tableau3453[[#This Row],[Date 
du paiement]]="",IF(Tableau3453[[#This Row],[Jours]]&gt;30,IF(Tableau3453[[#This Row],[Jours]]&lt;60,Tableau3453[[#This Row],[Montant
de la facture
CHF]],""),""),"")</f>
        <v/>
      </c>
      <c r="P443" s="263" t="str">
        <f>IF(Tableau3453[[#This Row],[Date 
du paiement]]="",IF(Tableau3453[[#This Row],[Jours]]&gt;60,Tableau3453[[#This Row],[Montant
de la facture
CHF]],""),"")</f>
        <v/>
      </c>
      <c r="Q443" s="266"/>
      <c r="R443" s="267" t="str">
        <f>Tableau3453[[#This Row],[Solde 
ouverte
fm]]</f>
        <v/>
      </c>
      <c r="S4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4" spans="1:19" hidden="1" x14ac:dyDescent="0.25">
      <c r="A444" s="268">
        <v>240627</v>
      </c>
      <c r="B444" s="239">
        <v>30</v>
      </c>
      <c r="C444" s="352" t="str">
        <f>IF(Tableau3453[[#This Row],[Date 
du paiement]]="",IF(Tableau3453[[#This Row],[Jours]]&gt;Tableau3453[[#This Row],[Conditions
pmt+]]+5,"oui",""),"")</f>
        <v/>
      </c>
      <c r="D444" s="262" t="s">
        <v>941</v>
      </c>
      <c r="E444" s="240">
        <v>45469</v>
      </c>
      <c r="F444" s="263">
        <v>2098</v>
      </c>
      <c r="G444" s="242" t="str">
        <f>IF(Tableau3453[[#This Row],[Date 
du paiement]]="",Tableau3453[[#This Row],[Montant
de la facture
CHF]],"")</f>
        <v/>
      </c>
      <c r="H444" s="243"/>
      <c r="I444" s="245">
        <v>45469</v>
      </c>
      <c r="J444" s="246">
        <v>45471</v>
      </c>
      <c r="K444" s="247" t="s">
        <v>58</v>
      </c>
      <c r="L444" s="264"/>
      <c r="M444" s="265">
        <f>IF(Tableau3453[[#This Row],[Date 
du paiement]]="",$D$4-Tableau3453[[#This Row],[Date
de la facture]],Tableau3453[[#This Row],[Date 
du paiement]]-Tableau3453[[#This Row],[Date
de la facture]])</f>
        <v>2</v>
      </c>
      <c r="N444" s="263" t="str">
        <f>IF(Tableau3453[[#This Row],[Date 
du paiement]]="",IF(Tableau3453[[#This Row],[Jours]]&lt;30,Tableau3453[[#This Row],[Montant
de la facture
CHF]],""),"")</f>
        <v/>
      </c>
      <c r="O444" s="263" t="str">
        <f>IF(Tableau3453[[#This Row],[Date 
du paiement]]="",IF(Tableau3453[[#This Row],[Jours]]&gt;30,IF(Tableau3453[[#This Row],[Jours]]&lt;60,Tableau3453[[#This Row],[Montant
de la facture
CHF]],""),""),"")</f>
        <v/>
      </c>
      <c r="P444" s="263" t="str">
        <f>IF(Tableau3453[[#This Row],[Date 
du paiement]]="",IF(Tableau3453[[#This Row],[Jours]]&gt;60,Tableau3453[[#This Row],[Montant
de la facture
CHF]],""),"")</f>
        <v/>
      </c>
      <c r="Q444" s="266"/>
      <c r="R444" s="267" t="str">
        <f>Tableau3453[[#This Row],[Solde 
ouverte
fm]]</f>
        <v/>
      </c>
      <c r="S44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5" spans="1:19" hidden="1" x14ac:dyDescent="0.25">
      <c r="A445" s="268">
        <v>240629</v>
      </c>
      <c r="B445" s="239" t="s">
        <v>870</v>
      </c>
      <c r="C445" s="352" t="str">
        <f>IF(Tableau3453[[#This Row],[Date 
du paiement]]="",IF(Tableau3453[[#This Row],[Jours]]&gt;Tableau3453[[#This Row],[Conditions
pmt+]]+5,"oui",""),"")</f>
        <v/>
      </c>
      <c r="D445" s="262" t="s">
        <v>1084</v>
      </c>
      <c r="E445" s="240">
        <v>45469</v>
      </c>
      <c r="F445" s="263">
        <v>284.85000000000002</v>
      </c>
      <c r="G445" s="242" t="str">
        <f>IF(Tableau3453[[#This Row],[Date 
du paiement]]="",Tableau3453[[#This Row],[Montant
de la facture
CHF]],"")</f>
        <v/>
      </c>
      <c r="H445" s="243"/>
      <c r="I445" s="245">
        <v>45470</v>
      </c>
      <c r="J445" s="246">
        <v>45467</v>
      </c>
      <c r="K445" s="247" t="s">
        <v>1085</v>
      </c>
      <c r="L445" s="264"/>
      <c r="M445" s="265">
        <f>IF(Tableau3453[[#This Row],[Date 
du paiement]]="",$D$4-Tableau3453[[#This Row],[Date
de la facture]],Tableau3453[[#This Row],[Date 
du paiement]]-Tableau3453[[#This Row],[Date
de la facture]])</f>
        <v>-2</v>
      </c>
      <c r="N445" s="263" t="str">
        <f>IF(Tableau3453[[#This Row],[Date 
du paiement]]="",IF(Tableau3453[[#This Row],[Jours]]&lt;30,Tableau3453[[#This Row],[Montant
de la facture
CHF]],""),"")</f>
        <v/>
      </c>
      <c r="O445" s="263" t="str">
        <f>IF(Tableau3453[[#This Row],[Date 
du paiement]]="",IF(Tableau3453[[#This Row],[Jours]]&gt;30,IF(Tableau3453[[#This Row],[Jours]]&lt;60,Tableau3453[[#This Row],[Montant
de la facture
CHF]],""),""),"")</f>
        <v/>
      </c>
      <c r="P445" s="263" t="str">
        <f>IF(Tableau3453[[#This Row],[Date 
du paiement]]="",IF(Tableau3453[[#This Row],[Jours]]&gt;60,Tableau3453[[#This Row],[Montant
de la facture
CHF]],""),"")</f>
        <v/>
      </c>
      <c r="Q445" s="266"/>
      <c r="R445" s="267" t="str">
        <f>Tableau3453[[#This Row],[Solde 
ouverte
fm]]</f>
        <v/>
      </c>
      <c r="S44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6" spans="1:19" hidden="1" x14ac:dyDescent="0.25">
      <c r="A446" s="268">
        <v>240505</v>
      </c>
      <c r="B446" s="239">
        <v>30</v>
      </c>
      <c r="C446" s="352" t="str">
        <f>IF(Tableau3453[[#This Row],[Date 
du paiement]]="",IF(Tableau3453[[#This Row],[Jours]]&gt;Tableau3453[[#This Row],[Conditions
pmt+]]+5,"oui",""),"")</f>
        <v/>
      </c>
      <c r="D446" s="262" t="s">
        <v>929</v>
      </c>
      <c r="E446" s="240">
        <v>45469</v>
      </c>
      <c r="F446" s="263">
        <v>1032.75</v>
      </c>
      <c r="G446" s="242" t="str">
        <f>IF(Tableau3453[[#This Row],[Date 
du paiement]]="",Tableau3453[[#This Row],[Montant
de la facture
CHF]],"")</f>
        <v/>
      </c>
      <c r="H446" s="243"/>
      <c r="I446" s="245">
        <v>45470</v>
      </c>
      <c r="J446" s="246">
        <v>45490</v>
      </c>
      <c r="K446" s="247" t="s">
        <v>58</v>
      </c>
      <c r="L446" s="264"/>
      <c r="M446" s="265">
        <f>IF(Tableau3453[[#This Row],[Date 
du paiement]]="",$D$4-Tableau3453[[#This Row],[Date
de la facture]],Tableau3453[[#This Row],[Date 
du paiement]]-Tableau3453[[#This Row],[Date
de la facture]])</f>
        <v>21</v>
      </c>
      <c r="N446" s="263" t="str">
        <f>IF(Tableau3453[[#This Row],[Date 
du paiement]]="",IF(Tableau3453[[#This Row],[Jours]]&lt;30,Tableau3453[[#This Row],[Montant
de la facture
CHF]],""),"")</f>
        <v/>
      </c>
      <c r="O446" s="263" t="str">
        <f>IF(Tableau3453[[#This Row],[Date 
du paiement]]="",IF(Tableau3453[[#This Row],[Jours]]&gt;30,IF(Tableau3453[[#This Row],[Jours]]&lt;60,Tableau3453[[#This Row],[Montant
de la facture
CHF]],""),""),"")</f>
        <v/>
      </c>
      <c r="P446" s="263" t="str">
        <f>IF(Tableau3453[[#This Row],[Date 
du paiement]]="",IF(Tableau3453[[#This Row],[Jours]]&gt;60,Tableau3453[[#This Row],[Montant
de la facture
CHF]],""),"")</f>
        <v/>
      </c>
      <c r="Q446" s="266"/>
      <c r="R446" s="267" t="str">
        <f>Tableau3453[[#This Row],[Solde 
ouverte
fm]]</f>
        <v/>
      </c>
      <c r="S44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7" spans="1:19" hidden="1" x14ac:dyDescent="0.25">
      <c r="A447" s="238">
        <v>240590</v>
      </c>
      <c r="B447" s="239">
        <v>60</v>
      </c>
      <c r="C447" s="352" t="str">
        <f>IF(Tableau3453[[#This Row],[Date 
du paiement]]="",IF(Tableau3453[[#This Row],[Jours]]&gt;Tableau3453[[#This Row],[Conditions
pmt+]]+5,"oui",""),"")</f>
        <v/>
      </c>
      <c r="D447" s="251" t="s">
        <v>865</v>
      </c>
      <c r="E447" s="240">
        <v>45462</v>
      </c>
      <c r="F447" s="263">
        <v>806.45</v>
      </c>
      <c r="G447" s="242" t="str">
        <f>IF(Tableau3453[[#This Row],[Date 
du paiement]]="",Tableau3453[[#This Row],[Montant
de la facture
CHF]],"")</f>
        <v/>
      </c>
      <c r="H447" s="243"/>
      <c r="I447" s="245">
        <v>45463</v>
      </c>
      <c r="J447" s="246">
        <v>45519</v>
      </c>
      <c r="K447" s="247" t="s">
        <v>58</v>
      </c>
      <c r="L447" s="248"/>
      <c r="M447" s="248">
        <f>IF(Tableau3453[[#This Row],[Date 
du paiement]]="",$D$4-Tableau3453[[#This Row],[Date
de la facture]],Tableau3453[[#This Row],[Date 
du paiement]]-Tableau3453[[#This Row],[Date
de la facture]])</f>
        <v>57</v>
      </c>
      <c r="N447" s="241" t="str">
        <f>IF(Tableau3453[[#This Row],[Date 
du paiement]]="",IF(Tableau3453[[#This Row],[Jours]]&lt;30,Tableau3453[[#This Row],[Montant
de la facture
CHF]],""),"")</f>
        <v/>
      </c>
      <c r="O447" s="241" t="str">
        <f>IF(Tableau3453[[#This Row],[Date 
du paiement]]="",IF(Tableau3453[[#This Row],[Jours]]&gt;30,IF(Tableau3453[[#This Row],[Jours]]&lt;60,Tableau3453[[#This Row],[Montant
de la facture
CHF]],""),""),"")</f>
        <v/>
      </c>
      <c r="P447" s="241" t="str">
        <f>IF(Tableau3453[[#This Row],[Date 
du paiement]]="",IF(Tableau3453[[#This Row],[Jours]]&gt;60,Tableau3453[[#This Row],[Montant
de la facture
CHF]],""),"")</f>
        <v/>
      </c>
      <c r="Q447" s="249"/>
      <c r="R447" s="250" t="str">
        <f>Tableau3453[[#This Row],[Solde 
ouverte
fm]]</f>
        <v/>
      </c>
      <c r="S44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8" spans="1:19" hidden="1" x14ac:dyDescent="0.25">
      <c r="A448" s="268">
        <v>240659</v>
      </c>
      <c r="B448" s="239" t="s">
        <v>870</v>
      </c>
      <c r="C448" s="352" t="str">
        <f>IF(Tableau3453[[#This Row],[Date 
du paiement]]="",IF(Tableau3453[[#This Row],[Jours]]&gt;Tableau3453[[#This Row],[Conditions
pmt+]]+5,"oui",""),"")</f>
        <v/>
      </c>
      <c r="D448" s="262" t="s">
        <v>885</v>
      </c>
      <c r="E448" s="240">
        <v>45470</v>
      </c>
      <c r="F448" s="263">
        <v>40.6</v>
      </c>
      <c r="G448" s="242" t="str">
        <f>IF(Tableau3453[[#This Row],[Date 
du paiement]]="",Tableau3453[[#This Row],[Montant
de la facture
CHF]],"")</f>
        <v/>
      </c>
      <c r="H448" s="243"/>
      <c r="I448" s="245">
        <v>45470</v>
      </c>
      <c r="J448" s="246">
        <v>45476</v>
      </c>
      <c r="K448" s="247" t="s">
        <v>58</v>
      </c>
      <c r="L448" s="264"/>
      <c r="M448" s="265">
        <f>IF(Tableau3453[[#This Row],[Date 
du paiement]]="",$D$4-Tableau3453[[#This Row],[Date
de la facture]],Tableau3453[[#This Row],[Date 
du paiement]]-Tableau3453[[#This Row],[Date
de la facture]])</f>
        <v>6</v>
      </c>
      <c r="N448" s="263" t="str">
        <f>IF(Tableau3453[[#This Row],[Date 
du paiement]]="",IF(Tableau3453[[#This Row],[Jours]]&lt;30,Tableau3453[[#This Row],[Montant
de la facture
CHF]],""),"")</f>
        <v/>
      </c>
      <c r="O448" s="263" t="str">
        <f>IF(Tableau3453[[#This Row],[Date 
du paiement]]="",IF(Tableau3453[[#This Row],[Jours]]&gt;30,IF(Tableau3453[[#This Row],[Jours]]&lt;60,Tableau3453[[#This Row],[Montant
de la facture
CHF]],""),""),"")</f>
        <v/>
      </c>
      <c r="P448" s="263" t="str">
        <f>IF(Tableau3453[[#This Row],[Date 
du paiement]]="",IF(Tableau3453[[#This Row],[Jours]]&gt;60,Tableau3453[[#This Row],[Montant
de la facture
CHF]],""),"")</f>
        <v/>
      </c>
      <c r="Q448" s="266"/>
      <c r="R448" s="267" t="str">
        <f>Tableau3453[[#This Row],[Solde 
ouverte
fm]]</f>
        <v/>
      </c>
      <c r="S44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49" spans="1:19" hidden="1" outlineLevel="1" x14ac:dyDescent="0.25">
      <c r="A449" s="268">
        <v>240617</v>
      </c>
      <c r="B449" s="239" t="s">
        <v>860</v>
      </c>
      <c r="C449" s="352" t="str">
        <f>IF(Tableau3453[[#This Row],[Date 
du paiement]]="",IF(Tableau3453[[#This Row],[Jours]]&gt;Tableau3453[[#This Row],[Conditions
pmt+]]+5,"oui",""),"")</f>
        <v/>
      </c>
      <c r="D449" s="251" t="s">
        <v>1117</v>
      </c>
      <c r="E449" s="240">
        <v>45471</v>
      </c>
      <c r="F449" s="263">
        <v>549.45000000000005</v>
      </c>
      <c r="G449" s="242" t="str">
        <f>IF(Tableau3453[[#This Row],[Date 
du paiement]]="",Tableau3453[[#This Row],[Montant
de la facture
CHF]],"")</f>
        <v/>
      </c>
      <c r="H449" s="243"/>
      <c r="I449" s="245">
        <v>45475</v>
      </c>
      <c r="J449" s="246">
        <v>45496</v>
      </c>
      <c r="K449" s="247" t="s">
        <v>58</v>
      </c>
      <c r="L449" s="264"/>
      <c r="M449" s="265">
        <f>IF(Tableau3453[[#This Row],[Date 
du paiement]]="",$D$4-Tableau3453[[#This Row],[Date
de la facture]],Tableau3453[[#This Row],[Date 
du paiement]]-Tableau3453[[#This Row],[Date
de la facture]])</f>
        <v>25</v>
      </c>
      <c r="N449" s="263" t="str">
        <f>IF(Tableau3453[[#This Row],[Date 
du paiement]]="",IF(Tableau3453[[#This Row],[Jours]]&lt;30,Tableau3453[[#This Row],[Montant
de la facture
CHF]],""),"")</f>
        <v/>
      </c>
      <c r="O449" s="263" t="str">
        <f>IF(Tableau3453[[#This Row],[Date 
du paiement]]="",IF(Tableau3453[[#This Row],[Jours]]&gt;30,IF(Tableau3453[[#This Row],[Jours]]&lt;60,Tableau3453[[#This Row],[Montant
de la facture
CHF]],""),""),"")</f>
        <v/>
      </c>
      <c r="P449" s="263" t="str">
        <f>IF(Tableau3453[[#This Row],[Date 
du paiement]]="",IF(Tableau3453[[#This Row],[Jours]]&gt;60,Tableau3453[[#This Row],[Montant
de la facture
CHF]],""),"")</f>
        <v/>
      </c>
      <c r="Q449" s="266"/>
      <c r="R449" s="267" t="str">
        <f>Tableau3453[[#This Row],[Solde 
ouverte
fm]]</f>
        <v/>
      </c>
      <c r="S4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0" spans="1:19" hidden="1" outlineLevel="1" x14ac:dyDescent="0.25">
      <c r="A450" s="268">
        <v>240616</v>
      </c>
      <c r="B450" s="239" t="s">
        <v>860</v>
      </c>
      <c r="C450" s="352" t="str">
        <f>IF(Tableau3453[[#This Row],[Date 
du paiement]]="",IF(Tableau3453[[#This Row],[Jours]]&gt;Tableau3453[[#This Row],[Conditions
pmt+]]+5,"oui",""),"")</f>
        <v/>
      </c>
      <c r="D450" s="251" t="s">
        <v>1117</v>
      </c>
      <c r="E450" s="240">
        <v>45471</v>
      </c>
      <c r="F450" s="263">
        <v>2774.5</v>
      </c>
      <c r="G450" s="242" t="str">
        <f>IF(Tableau3453[[#This Row],[Date 
du paiement]]="",Tableau3453[[#This Row],[Montant
de la facture
CHF]],"")</f>
        <v/>
      </c>
      <c r="H450" s="243"/>
      <c r="I450" s="245">
        <v>45475</v>
      </c>
      <c r="J450" s="246">
        <v>45496</v>
      </c>
      <c r="K450" s="247" t="s">
        <v>58</v>
      </c>
      <c r="L450" s="264"/>
      <c r="M450" s="265">
        <f>IF(Tableau3453[[#This Row],[Date 
du paiement]]="",$D$4-Tableau3453[[#This Row],[Date
de la facture]],Tableau3453[[#This Row],[Date 
du paiement]]-Tableau3453[[#This Row],[Date
de la facture]])</f>
        <v>25</v>
      </c>
      <c r="N450" s="263" t="str">
        <f>IF(Tableau3453[[#This Row],[Date 
du paiement]]="",IF(Tableau3453[[#This Row],[Jours]]&lt;30,Tableau3453[[#This Row],[Montant
de la facture
CHF]],""),"")</f>
        <v/>
      </c>
      <c r="O450" s="263" t="str">
        <f>IF(Tableau3453[[#This Row],[Date 
du paiement]]="",IF(Tableau3453[[#This Row],[Jours]]&gt;30,IF(Tableau3453[[#This Row],[Jours]]&lt;60,Tableau3453[[#This Row],[Montant
de la facture
CHF]],""),""),"")</f>
        <v/>
      </c>
      <c r="P450" s="263" t="str">
        <f>IF(Tableau3453[[#This Row],[Date 
du paiement]]="",IF(Tableau3453[[#This Row],[Jours]]&gt;60,Tableau3453[[#This Row],[Montant
de la facture
CHF]],""),"")</f>
        <v/>
      </c>
      <c r="Q450" s="266"/>
      <c r="R450" s="267" t="str">
        <f>Tableau3453[[#This Row],[Solde 
ouverte
fm]]</f>
        <v/>
      </c>
      <c r="S45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1" spans="1:19" hidden="1" outlineLevel="1" x14ac:dyDescent="0.25">
      <c r="A451" s="238">
        <v>240603</v>
      </c>
      <c r="B451" s="239" t="s">
        <v>860</v>
      </c>
      <c r="C451" s="352" t="str">
        <f>IF(Tableau3453[[#This Row],[Date 
du paiement]]="",IF(Tableau3453[[#This Row],[Jours]]&gt;Tableau3453[[#This Row],[Conditions
pmt+]]+5,"oui",""),"")</f>
        <v/>
      </c>
      <c r="D451" s="251" t="s">
        <v>1295</v>
      </c>
      <c r="E451" s="240">
        <v>45464</v>
      </c>
      <c r="F451" s="263">
        <v>5546.55</v>
      </c>
      <c r="G451" s="242" t="str">
        <f>IF(Tableau3453[[#This Row],[Date 
du paiement]]="",Tableau3453[[#This Row],[Montant
de la facture
CHF]],"")</f>
        <v/>
      </c>
      <c r="H451" s="243" t="s">
        <v>1380</v>
      </c>
      <c r="I451" s="245">
        <v>45467</v>
      </c>
      <c r="J451" s="246">
        <v>45530</v>
      </c>
      <c r="K451" s="247" t="s">
        <v>58</v>
      </c>
      <c r="L451" s="271">
        <v>2</v>
      </c>
      <c r="M451" s="248">
        <f>IF(Tableau3453[[#This Row],[Date 
du paiement]]="",$D$4-Tableau3453[[#This Row],[Date
de la facture]],Tableau3453[[#This Row],[Date 
du paiement]]-Tableau3453[[#This Row],[Date
de la facture]])</f>
        <v>66</v>
      </c>
      <c r="N451" s="241" t="str">
        <f>IF(Tableau3453[[#This Row],[Date 
du paiement]]="",IF(Tableau3453[[#This Row],[Jours]]&lt;30,Tableau3453[[#This Row],[Montant
de la facture
CHF]],""),"")</f>
        <v/>
      </c>
      <c r="O451" s="241" t="str">
        <f>IF(Tableau3453[[#This Row],[Date 
du paiement]]="",IF(Tableau3453[[#This Row],[Jours]]&gt;30,IF(Tableau3453[[#This Row],[Jours]]&lt;60,Tableau3453[[#This Row],[Montant
de la facture
CHF]],""),""),"")</f>
        <v/>
      </c>
      <c r="P451" s="241" t="str">
        <f>IF(Tableau3453[[#This Row],[Date 
du paiement]]="",IF(Tableau3453[[#This Row],[Jours]]&gt;60,Tableau3453[[#This Row],[Montant
de la facture
CHF]],""),"")</f>
        <v/>
      </c>
      <c r="Q451" s="249" t="s">
        <v>1363</v>
      </c>
      <c r="R451" s="250" t="str">
        <f>Tableau3453[[#This Row],[Solde 
ouverte
fm]]</f>
        <v/>
      </c>
      <c r="S4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2" spans="1:19" hidden="1" outlineLevel="1" x14ac:dyDescent="0.25">
      <c r="A452" s="238">
        <v>240677</v>
      </c>
      <c r="B452" s="239" t="s">
        <v>870</v>
      </c>
      <c r="C452" s="352" t="str">
        <f>IF(Tableau3453[[#This Row],[Date 
du paiement]]="",IF(Tableau3453[[#This Row],[Jours]]&gt;Tableau3453[[#This Row],[Conditions
pmt+]]+5,"oui",""),"")</f>
        <v/>
      </c>
      <c r="D452" s="238" t="s">
        <v>871</v>
      </c>
      <c r="E452" s="240">
        <v>45474</v>
      </c>
      <c r="F452" s="263">
        <v>721.9</v>
      </c>
      <c r="G452" s="242" t="str">
        <f>IF(Tableau3453[[#This Row],[Date 
du paiement]]="",Tableau3453[[#This Row],[Montant
de la facture
CHF]],"")</f>
        <v/>
      </c>
      <c r="H452" s="243"/>
      <c r="I452" s="245">
        <v>45475</v>
      </c>
      <c r="J452" s="246">
        <v>45461</v>
      </c>
      <c r="K452" s="247" t="s">
        <v>58</v>
      </c>
      <c r="L452" s="248"/>
      <c r="M452" s="248">
        <f>IF(Tableau3453[[#This Row],[Date 
du paiement]]="",$D$4-Tableau3453[[#This Row],[Date
de la facture]],Tableau3453[[#This Row],[Date 
du paiement]]-Tableau3453[[#This Row],[Date
de la facture]])</f>
        <v>-13</v>
      </c>
      <c r="N452" s="241" t="str">
        <f>IF(Tableau3453[[#This Row],[Date 
du paiement]]="",IF(Tableau3453[[#This Row],[Jours]]&lt;30,Tableau3453[[#This Row],[Montant
de la facture
CHF]],""),"")</f>
        <v/>
      </c>
      <c r="O452" s="241" t="str">
        <f>IF(Tableau3453[[#This Row],[Date 
du paiement]]="",IF(Tableau3453[[#This Row],[Jours]]&gt;30,IF(Tableau3453[[#This Row],[Jours]]&lt;60,Tableau3453[[#This Row],[Montant
de la facture
CHF]],""),""),"")</f>
        <v/>
      </c>
      <c r="P452" s="241" t="str">
        <f>IF(Tableau3453[[#This Row],[Date 
du paiement]]="",IF(Tableau3453[[#This Row],[Jours]]&gt;60,Tableau3453[[#This Row],[Montant
de la facture
CHF]],""),"")</f>
        <v/>
      </c>
      <c r="Q452" s="249"/>
      <c r="R452" s="267" t="str">
        <f>Tableau3453[[#This Row],[Solde 
ouverte
fm]]</f>
        <v/>
      </c>
      <c r="S45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3" spans="1:19" hidden="1" outlineLevel="1" x14ac:dyDescent="0.25">
      <c r="A453" s="268">
        <v>240539</v>
      </c>
      <c r="B453" s="239">
        <v>30</v>
      </c>
      <c r="C453" s="352" t="str">
        <f>IF(Tableau3453[[#This Row],[Date 
du paiement]]="",IF(Tableau3453[[#This Row],[Jours]]&gt;Tableau3453[[#This Row],[Conditions
pmt+]]+5,"oui",""),"")</f>
        <v/>
      </c>
      <c r="D453" s="262" t="s">
        <v>934</v>
      </c>
      <c r="E453" s="240">
        <v>45482</v>
      </c>
      <c r="F453" s="263">
        <v>13201.85</v>
      </c>
      <c r="G453" s="242" t="str">
        <f>IF(Tableau3453[[#This Row],[Date 
du paiement]]="",Tableau3453[[#This Row],[Montant
de la facture
CHF]],"")</f>
        <v/>
      </c>
      <c r="H453" s="243"/>
      <c r="I453" s="245">
        <v>45485</v>
      </c>
      <c r="J453" s="246">
        <v>45513</v>
      </c>
      <c r="K453" s="247" t="s">
        <v>58</v>
      </c>
      <c r="L453" s="264"/>
      <c r="M453" s="265">
        <f>IF(Tableau3453[[#This Row],[Date 
du paiement]]="",$D$4-Tableau3453[[#This Row],[Date
de la facture]],Tableau3453[[#This Row],[Date 
du paiement]]-Tableau3453[[#This Row],[Date
de la facture]])</f>
        <v>31</v>
      </c>
      <c r="N453" s="263" t="str">
        <f>IF(Tableau3453[[#This Row],[Date 
du paiement]]="",IF(Tableau3453[[#This Row],[Jours]]&lt;30,Tableau3453[[#This Row],[Montant
de la facture
CHF]],""),"")</f>
        <v/>
      </c>
      <c r="O453" s="263" t="str">
        <f>IF(Tableau3453[[#This Row],[Date 
du paiement]]="",IF(Tableau3453[[#This Row],[Jours]]&gt;30,IF(Tableau3453[[#This Row],[Jours]]&lt;60,Tableau3453[[#This Row],[Montant
de la facture
CHF]],""),""),"")</f>
        <v/>
      </c>
      <c r="P453" s="263" t="str">
        <f>IF(Tableau3453[[#This Row],[Date 
du paiement]]="",IF(Tableau3453[[#This Row],[Jours]]&gt;60,Tableau3453[[#This Row],[Montant
de la facture
CHF]],""),"")</f>
        <v/>
      </c>
      <c r="Q453" s="266"/>
      <c r="R453" s="267" t="str">
        <f>Tableau3453[[#This Row],[Solde 
ouverte
fm]]</f>
        <v/>
      </c>
      <c r="S45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4" spans="1:19" hidden="1" outlineLevel="1" x14ac:dyDescent="0.25">
      <c r="A454" s="268">
        <v>240570</v>
      </c>
      <c r="B454" s="239">
        <v>30</v>
      </c>
      <c r="C454" s="352" t="str">
        <f>IF(Tableau3453[[#This Row],[Date 
du paiement]]="",IF(Tableau3453[[#This Row],[Jours]]&gt;Tableau3453[[#This Row],[Conditions
pmt+]]+5,"oui",""),"")</f>
        <v/>
      </c>
      <c r="D454" s="262" t="s">
        <v>934</v>
      </c>
      <c r="E454" s="240">
        <v>45483</v>
      </c>
      <c r="F454" s="263">
        <v>894.1</v>
      </c>
      <c r="G454" s="242" t="str">
        <f>IF(Tableau3453[[#This Row],[Date 
du paiement]]="",Tableau3453[[#This Row],[Montant
de la facture
CHF]],"")</f>
        <v/>
      </c>
      <c r="H454" s="243"/>
      <c r="I454" s="245">
        <v>45485</v>
      </c>
      <c r="J454" s="246">
        <v>45516</v>
      </c>
      <c r="K454" s="247" t="s">
        <v>58</v>
      </c>
      <c r="L454" s="264"/>
      <c r="M454" s="265">
        <f>IF(Tableau3453[[#This Row],[Date 
du paiement]]="",$D$4-Tableau3453[[#This Row],[Date
de la facture]],Tableau3453[[#This Row],[Date 
du paiement]]-Tableau3453[[#This Row],[Date
de la facture]])</f>
        <v>33</v>
      </c>
      <c r="N454" s="263" t="str">
        <f>IF(Tableau3453[[#This Row],[Date 
du paiement]]="",IF(Tableau3453[[#This Row],[Jours]]&lt;30,Tableau3453[[#This Row],[Montant
de la facture
CHF]],""),"")</f>
        <v/>
      </c>
      <c r="O454" s="263" t="str">
        <f>IF(Tableau3453[[#This Row],[Date 
du paiement]]="",IF(Tableau3453[[#This Row],[Jours]]&gt;30,IF(Tableau3453[[#This Row],[Jours]]&lt;60,Tableau3453[[#This Row],[Montant
de la facture
CHF]],""),""),"")</f>
        <v/>
      </c>
      <c r="P454" s="263" t="str">
        <f>IF(Tableau3453[[#This Row],[Date 
du paiement]]="",IF(Tableau3453[[#This Row],[Jours]]&gt;60,Tableau3453[[#This Row],[Montant
de la facture
CHF]],""),"")</f>
        <v/>
      </c>
      <c r="Q454" s="266"/>
      <c r="R454" s="267" t="str">
        <f>Tableau3453[[#This Row],[Solde 
ouverte
fm]]</f>
        <v/>
      </c>
      <c r="S4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5" spans="1:19" hidden="1" outlineLevel="1" x14ac:dyDescent="0.25">
      <c r="A455" s="238">
        <v>240566</v>
      </c>
      <c r="B455" s="239">
        <v>60</v>
      </c>
      <c r="C455" s="352" t="str">
        <f>IF(Tableau3453[[#This Row],[Date 
du paiement]]="",IF(Tableau3453[[#This Row],[Jours]]&gt;Tableau3453[[#This Row],[Conditions
pmt+]]+5,"oui",""),"")</f>
        <v/>
      </c>
      <c r="D455" s="251" t="s">
        <v>865</v>
      </c>
      <c r="E455" s="240">
        <v>45461</v>
      </c>
      <c r="F455" s="263">
        <v>895.5</v>
      </c>
      <c r="G455" s="242" t="str">
        <f>IF(Tableau3453[[#This Row],[Date 
du paiement]]="",Tableau3453[[#This Row],[Montant
de la facture
CHF]],"")</f>
        <v/>
      </c>
      <c r="H455" s="243"/>
      <c r="I455" s="245">
        <v>45463</v>
      </c>
      <c r="J455" s="246">
        <v>45547</v>
      </c>
      <c r="K455" s="247" t="s">
        <v>58</v>
      </c>
      <c r="L455" s="248">
        <v>3</v>
      </c>
      <c r="M455" s="248">
        <f>IF(Tableau3453[[#This Row],[Date 
du paiement]]="",$D$4-Tableau3453[[#This Row],[Date
de la facture]],Tableau3453[[#This Row],[Date 
du paiement]]-Tableau3453[[#This Row],[Date
de la facture]])</f>
        <v>86</v>
      </c>
      <c r="N455" s="241" t="str">
        <f>IF(Tableau3453[[#This Row],[Date 
du paiement]]="",IF(Tableau3453[[#This Row],[Jours]]&lt;30,Tableau3453[[#This Row],[Montant
de la facture
CHF]],""),"")</f>
        <v/>
      </c>
      <c r="O455" s="241" t="str">
        <f>IF(Tableau3453[[#This Row],[Date 
du paiement]]="",IF(Tableau3453[[#This Row],[Jours]]&gt;30,IF(Tableau3453[[#This Row],[Jours]]&lt;60,Tableau3453[[#This Row],[Montant
de la facture
CHF]],""),""),"")</f>
        <v/>
      </c>
      <c r="P455" s="241" t="str">
        <f>IF(Tableau3453[[#This Row],[Date 
du paiement]]="",IF(Tableau3453[[#This Row],[Jours]]&gt;60,Tableau3453[[#This Row],[Montant
de la facture
CHF]],""),"")</f>
        <v/>
      </c>
      <c r="Q455" s="249"/>
      <c r="R455" s="250" t="str">
        <f>Tableau3453[[#This Row],[Solde 
ouverte
fm]]</f>
        <v/>
      </c>
      <c r="S4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6" spans="1:19" hidden="1" outlineLevel="1" x14ac:dyDescent="0.25">
      <c r="A456" s="238">
        <v>240563</v>
      </c>
      <c r="B456" s="239">
        <v>30</v>
      </c>
      <c r="C456" s="352" t="str">
        <f>IF(Tableau3453[[#This Row],[Date 
du paiement]]="",IF(Tableau3453[[#This Row],[Jours]]&gt;Tableau3453[[#This Row],[Conditions
pmt+]]+5,"oui",""),"")</f>
        <v/>
      </c>
      <c r="D456" s="251" t="s">
        <v>1016</v>
      </c>
      <c r="E456" s="240">
        <v>45462</v>
      </c>
      <c r="F456" s="263">
        <v>1673</v>
      </c>
      <c r="G456" s="242" t="str">
        <f>IF(Tableau3453[[#This Row],[Date 
du paiement]]="",Tableau3453[[#This Row],[Montant
de la facture
CHF]],"")</f>
        <v/>
      </c>
      <c r="H456" s="243" t="s">
        <v>1296</v>
      </c>
      <c r="I456" s="245">
        <v>45463</v>
      </c>
      <c r="J456" s="246">
        <v>45525</v>
      </c>
      <c r="K456" s="247" t="s">
        <v>58</v>
      </c>
      <c r="L456" s="248">
        <v>3</v>
      </c>
      <c r="M456" s="248">
        <f>IF(Tableau3453[[#This Row],[Date 
du paiement]]="",$D$4-Tableau3453[[#This Row],[Date
de la facture]],Tableau3453[[#This Row],[Date 
du paiement]]-Tableau3453[[#This Row],[Date
de la facture]])</f>
        <v>63</v>
      </c>
      <c r="N456" s="241" t="str">
        <f>IF(Tableau3453[[#This Row],[Date 
du paiement]]="",IF(Tableau3453[[#This Row],[Jours]]&lt;30,Tableau3453[[#This Row],[Montant
de la facture
CHF]],""),"")</f>
        <v/>
      </c>
      <c r="O456" s="241" t="str">
        <f>IF(Tableau3453[[#This Row],[Date 
du paiement]]="",IF(Tableau3453[[#This Row],[Jours]]&gt;30,IF(Tableau3453[[#This Row],[Jours]]&lt;60,Tableau3453[[#This Row],[Montant
de la facture
CHF]],""),""),"")</f>
        <v/>
      </c>
      <c r="P456" s="241" t="str">
        <f>IF(Tableau3453[[#This Row],[Date 
du paiement]]="",IF(Tableau3453[[#This Row],[Jours]]&gt;60,Tableau3453[[#This Row],[Montant
de la facture
CHF]],""),"")</f>
        <v/>
      </c>
      <c r="Q456" s="249"/>
      <c r="R456" s="250" t="str">
        <f>Tableau3453[[#This Row],[Solde 
ouverte
fm]]</f>
        <v/>
      </c>
      <c r="S45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7" spans="1:19" outlineLevel="1" x14ac:dyDescent="0.25">
      <c r="A457" s="473">
        <v>240837</v>
      </c>
      <c r="B457" s="454">
        <v>30</v>
      </c>
      <c r="C457" s="495" t="str">
        <f ca="1">IF(Tableau3453[[#This Row],[Date 
du paiement]]="",IF(Tableau3453[[#This Row],[Jours]]&gt;Tableau3453[[#This Row],[Conditions
pmt+]]+5,"oui",""),"")</f>
        <v/>
      </c>
      <c r="D457" s="467" t="s">
        <v>914</v>
      </c>
      <c r="E457" s="455">
        <v>45608</v>
      </c>
      <c r="F457" s="468">
        <v>11042.65</v>
      </c>
      <c r="G457" s="501">
        <f>IF(Tableau3453[[#This Row],[Date 
du paiement]]="",Tableau3453[[#This Row],[Montant
de la facture
CHF]],"")</f>
        <v>11042.65</v>
      </c>
      <c r="H457" s="458"/>
      <c r="I457" s="459">
        <v>45610</v>
      </c>
      <c r="J457" s="460"/>
      <c r="K457" s="461"/>
      <c r="L457" s="469"/>
      <c r="M457" s="470">
        <f ca="1">IF(Tableau3453[[#This Row],[Date 
du paiement]]="",$D$4-Tableau3453[[#This Row],[Date
de la facture]],Tableau3453[[#This Row],[Date 
du paiement]]-Tableau3453[[#This Row],[Date
de la facture]])</f>
        <v>9.4694253472189303</v>
      </c>
      <c r="N457" s="468">
        <f ca="1">IF(Tableau3453[[#This Row],[Date 
du paiement]]="",IF(Tableau3453[[#This Row],[Jours]]&lt;30,Tableau3453[[#This Row],[Montant
de la facture
CHF]],""),"")</f>
        <v>11042.65</v>
      </c>
      <c r="O457" s="468" t="str">
        <f ca="1">IF(Tableau3453[[#This Row],[Date 
du paiement]]="",IF(Tableau3453[[#This Row],[Jours]]&gt;30,IF(Tableau3453[[#This Row],[Jours]]&lt;60,Tableau3453[[#This Row],[Montant
de la facture
CHF]],""),""),"")</f>
        <v/>
      </c>
      <c r="P457" s="468" t="str">
        <f ca="1">IF(Tableau3453[[#This Row],[Date 
du paiement]]="",IF(Tableau3453[[#This Row],[Jours]]&gt;60,Tableau3453[[#This Row],[Montant
de la facture
CHF]],""),"")</f>
        <v/>
      </c>
      <c r="Q457" s="471"/>
      <c r="R457" s="472">
        <f>Tableau3453[[#This Row],[Solde 
ouverte
fm]]</f>
        <v>11042.65</v>
      </c>
      <c r="S457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458" spans="1:19" hidden="1" outlineLevel="1" x14ac:dyDescent="0.25">
      <c r="A458" s="380">
        <v>240744</v>
      </c>
      <c r="B458" s="408">
        <v>30</v>
      </c>
      <c r="C458" s="381" t="str">
        <f>IF(Tableau3453[[#This Row],[Date 
du paiement]]="",IF(Tableau3453[[#This Row],[Jours]]&gt;Tableau3453[[#This Row],[Conditions
pmt+]]+5,"oui",""),"")</f>
        <v/>
      </c>
      <c r="D458" s="382" t="s">
        <v>893</v>
      </c>
      <c r="E458" s="383">
        <v>45502</v>
      </c>
      <c r="F458" s="384">
        <v>948.05</v>
      </c>
      <c r="G458" s="410" t="str">
        <f>IF(Tableau3453[[#This Row],[Date 
du paiement]]="",Tableau3453[[#This Row],[Montant
de la facture
CHF]],"")</f>
        <v/>
      </c>
      <c r="H458" s="411"/>
      <c r="I458" s="386">
        <v>45510</v>
      </c>
      <c r="J458" s="387">
        <v>45537</v>
      </c>
      <c r="K458" s="388" t="s">
        <v>58</v>
      </c>
      <c r="L458" s="389"/>
      <c r="M458" s="390">
        <f>IF(Tableau3453[[#This Row],[Date 
du paiement]]="",$D$4-Tableau3453[[#This Row],[Date
de la facture]],Tableau3453[[#This Row],[Date 
du paiement]]-Tableau3453[[#This Row],[Date
de la facture]])</f>
        <v>35</v>
      </c>
      <c r="N458" s="384" t="str">
        <f>IF(Tableau3453[[#This Row],[Date 
du paiement]]="",IF(Tableau3453[[#This Row],[Jours]]&lt;30,Tableau3453[[#This Row],[Montant
de la facture
CHF]],""),"")</f>
        <v/>
      </c>
      <c r="O458" s="384" t="str">
        <f>IF(Tableau3453[[#This Row],[Date 
du paiement]]="",IF(Tableau3453[[#This Row],[Jours]]&gt;30,IF(Tableau3453[[#This Row],[Jours]]&lt;60,Tableau3453[[#This Row],[Montant
de la facture
CHF]],""),""),"")</f>
        <v/>
      </c>
      <c r="P458" s="384" t="str">
        <f>IF(Tableau3453[[#This Row],[Date 
du paiement]]="",IF(Tableau3453[[#This Row],[Jours]]&gt;60,Tableau3453[[#This Row],[Montant
de la facture
CHF]],""),"")</f>
        <v/>
      </c>
      <c r="Q458" s="416"/>
      <c r="R458" s="391" t="str">
        <f>Tableau3453[[#This Row],[Solde 
ouverte
fm]]</f>
        <v/>
      </c>
      <c r="S458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59" spans="1:19" hidden="1" outlineLevel="1" x14ac:dyDescent="0.25">
      <c r="A459" s="238">
        <v>240620</v>
      </c>
      <c r="B459" s="239">
        <v>30</v>
      </c>
      <c r="C459" s="352" t="str">
        <f>IF(Tableau3453[[#This Row],[Date 
du paiement]]="",IF(Tableau3453[[#This Row],[Jours]]&gt;Tableau3453[[#This Row],[Conditions
pmt+]]+5,"oui",""),"")</f>
        <v/>
      </c>
      <c r="D459" s="251" t="s">
        <v>880</v>
      </c>
      <c r="E459" s="240">
        <v>45475</v>
      </c>
      <c r="F459" s="263">
        <v>2037.4</v>
      </c>
      <c r="G459" s="242" t="str">
        <f>IF(Tableau3453[[#This Row],[Date 
du paiement]]="",Tableau3453[[#This Row],[Montant
de la facture
CHF]],"")</f>
        <v/>
      </c>
      <c r="H459" s="244"/>
      <c r="I459" s="245">
        <v>45477</v>
      </c>
      <c r="J459" s="246">
        <v>45499</v>
      </c>
      <c r="K459" s="247" t="s">
        <v>58</v>
      </c>
      <c r="L459" s="248"/>
      <c r="M459" s="248">
        <f>IF(Tableau3453[[#This Row],[Date 
du paiement]]="",$D$4-Tableau3453[[#This Row],[Date
de la facture]],Tableau3453[[#This Row],[Date 
du paiement]]-Tableau3453[[#This Row],[Date
de la facture]])</f>
        <v>24</v>
      </c>
      <c r="N459" s="241" t="str">
        <f>IF(Tableau3453[[#This Row],[Date 
du paiement]]="",IF(Tableau3453[[#This Row],[Jours]]&lt;30,Tableau3453[[#This Row],[Montant
de la facture
CHF]],""),"")</f>
        <v/>
      </c>
      <c r="O459" s="257" t="str">
        <f>IF(Tableau3453[[#This Row],[Date 
du paiement]]="",IF(Tableau3453[[#This Row],[Jours]]&gt;30,IF(Tableau3453[[#This Row],[Jours]]&lt;60,Tableau3453[[#This Row],[Montant
de la facture
CHF]],""),""),"")</f>
        <v/>
      </c>
      <c r="P459" s="257" t="str">
        <f>IF(Tableau3453[[#This Row],[Date 
du paiement]]="",IF(Tableau3453[[#This Row],[Jours]]&gt;60,Tableau3453[[#This Row],[Montant
de la facture
CHF]],""),"")</f>
        <v/>
      </c>
      <c r="Q459" s="257"/>
      <c r="R459" s="267" t="str">
        <f>Tableau3453[[#This Row],[Solde 
ouverte
fm]]</f>
        <v/>
      </c>
      <c r="S4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0" spans="1:19" hidden="1" outlineLevel="1" x14ac:dyDescent="0.25">
      <c r="A460" s="268">
        <v>240640</v>
      </c>
      <c r="B460" s="239">
        <v>30</v>
      </c>
      <c r="C460" s="352" t="str">
        <f>IF(Tableau3453[[#This Row],[Date 
du paiement]]="",IF(Tableau3453[[#This Row],[Jours]]&gt;Tableau3453[[#This Row],[Conditions
pmt+]]+5,"oui",""),"")</f>
        <v/>
      </c>
      <c r="D460" s="262" t="s">
        <v>880</v>
      </c>
      <c r="E460" s="240">
        <v>45475</v>
      </c>
      <c r="F460" s="263">
        <v>31667.8</v>
      </c>
      <c r="G460" s="242" t="str">
        <f>IF(Tableau3453[[#This Row],[Date 
du paiement]]="",Tableau3453[[#This Row],[Montant
de la facture
CHF]],"")</f>
        <v/>
      </c>
      <c r="H460" s="243"/>
      <c r="I460" s="245">
        <v>45477</v>
      </c>
      <c r="J460" s="246">
        <v>45499</v>
      </c>
      <c r="K460" s="247" t="s">
        <v>58</v>
      </c>
      <c r="L460" s="264"/>
      <c r="M460" s="248">
        <f>IF(Tableau3453[[#This Row],[Date 
du paiement]]="",$D$4-Tableau3453[[#This Row],[Date
de la facture]],Tableau3453[[#This Row],[Date 
du paiement]]-Tableau3453[[#This Row],[Date
de la facture]])</f>
        <v>24</v>
      </c>
      <c r="N460" s="263" t="str">
        <f>IF(Tableau3453[[#This Row],[Date 
du paiement]]="",IF(Tableau3453[[#This Row],[Jours]]&lt;30,Tableau3453[[#This Row],[Montant
de la facture
CHF]],""),"")</f>
        <v/>
      </c>
      <c r="O460" s="263" t="str">
        <f>IF(Tableau3453[[#This Row],[Date 
du paiement]]="",IF(Tableau3453[[#This Row],[Jours]]&gt;30,IF(Tableau3453[[#This Row],[Jours]]&lt;60,Tableau3453[[#This Row],[Montant
de la facture
CHF]],""),""),"")</f>
        <v/>
      </c>
      <c r="P460" s="263" t="str">
        <f>IF(Tableau3453[[#This Row],[Date 
du paiement]]="",IF(Tableau3453[[#This Row],[Jours]]&gt;60,Tableau3453[[#This Row],[Montant
de la facture
CHF]],""),"")</f>
        <v/>
      </c>
      <c r="Q460" s="266"/>
      <c r="R460" s="267" t="str">
        <f>Tableau3453[[#This Row],[Solde 
ouverte
fm]]</f>
        <v/>
      </c>
      <c r="S46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1" spans="1:19" hidden="1" outlineLevel="1" x14ac:dyDescent="0.25">
      <c r="A461" s="268">
        <v>240649</v>
      </c>
      <c r="B461" s="239">
        <v>30</v>
      </c>
      <c r="C461" s="352" t="str">
        <f>IF(Tableau3453[[#This Row],[Date 
du paiement]]="",IF(Tableau3453[[#This Row],[Jours]]&gt;Tableau3453[[#This Row],[Conditions
pmt+]]+5,"oui",""),"")</f>
        <v/>
      </c>
      <c r="D461" s="262" t="s">
        <v>880</v>
      </c>
      <c r="E461" s="240">
        <v>45475</v>
      </c>
      <c r="F461" s="263">
        <v>2005.55</v>
      </c>
      <c r="G461" s="242" t="str">
        <f>IF(Tableau3453[[#This Row],[Date 
du paiement]]="",Tableau3453[[#This Row],[Montant
de la facture
CHF]],"")</f>
        <v/>
      </c>
      <c r="H461" s="243"/>
      <c r="I461" s="245">
        <v>45477</v>
      </c>
      <c r="J461" s="246">
        <v>45499</v>
      </c>
      <c r="K461" s="247" t="s">
        <v>58</v>
      </c>
      <c r="L461" s="264"/>
      <c r="M461" s="248">
        <f>IF(Tableau3453[[#This Row],[Date 
du paiement]]="",$D$4-Tableau3453[[#This Row],[Date
de la facture]],Tableau3453[[#This Row],[Date 
du paiement]]-Tableau3453[[#This Row],[Date
de la facture]])</f>
        <v>24</v>
      </c>
      <c r="N461" s="263" t="str">
        <f>IF(Tableau3453[[#This Row],[Date 
du paiement]]="",IF(Tableau3453[[#This Row],[Jours]]&lt;30,Tableau3453[[#This Row],[Montant
de la facture
CHF]],""),"")</f>
        <v/>
      </c>
      <c r="O461" s="263" t="str">
        <f>IF(Tableau3453[[#This Row],[Date 
du paiement]]="",IF(Tableau3453[[#This Row],[Jours]]&gt;30,IF(Tableau3453[[#This Row],[Jours]]&lt;60,Tableau3453[[#This Row],[Montant
de la facture
CHF]],""),""),"")</f>
        <v/>
      </c>
      <c r="P461" s="263" t="str">
        <f>IF(Tableau3453[[#This Row],[Date 
du paiement]]="",IF(Tableau3453[[#This Row],[Jours]]&gt;60,Tableau3453[[#This Row],[Montant
de la facture
CHF]],""),"")</f>
        <v/>
      </c>
      <c r="Q461" s="266"/>
      <c r="R461" s="267" t="str">
        <f>Tableau3453[[#This Row],[Solde 
ouverte
fm]]</f>
        <v/>
      </c>
      <c r="S46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2" spans="1:19" hidden="1" outlineLevel="1" x14ac:dyDescent="0.25">
      <c r="A462" s="268">
        <v>240654</v>
      </c>
      <c r="B462" s="239">
        <v>30</v>
      </c>
      <c r="C462" s="352" t="str">
        <f>IF(Tableau3453[[#This Row],[Date 
du paiement]]="",IF(Tableau3453[[#This Row],[Jours]]&gt;Tableau3453[[#This Row],[Conditions
pmt+]]+5,"oui",""),"")</f>
        <v/>
      </c>
      <c r="D462" s="262" t="s">
        <v>880</v>
      </c>
      <c r="E462" s="240">
        <v>45475</v>
      </c>
      <c r="F462" s="263">
        <v>2910.6</v>
      </c>
      <c r="G462" s="242" t="str">
        <f>IF(Tableau3453[[#This Row],[Date 
du paiement]]="",Tableau3453[[#This Row],[Montant
de la facture
CHF]],"")</f>
        <v/>
      </c>
      <c r="H462" s="243"/>
      <c r="I462" s="245">
        <v>45477</v>
      </c>
      <c r="J462" s="246">
        <v>45499</v>
      </c>
      <c r="K462" s="247" t="s">
        <v>58</v>
      </c>
      <c r="L462" s="264"/>
      <c r="M462" s="248">
        <f>IF(Tableau3453[[#This Row],[Date 
du paiement]]="",$D$4-Tableau3453[[#This Row],[Date
de la facture]],Tableau3453[[#This Row],[Date 
du paiement]]-Tableau3453[[#This Row],[Date
de la facture]])</f>
        <v>24</v>
      </c>
      <c r="N462" s="263" t="str">
        <f>IF(Tableau3453[[#This Row],[Date 
du paiement]]="",IF(Tableau3453[[#This Row],[Jours]]&lt;30,Tableau3453[[#This Row],[Montant
de la facture
CHF]],""),"")</f>
        <v/>
      </c>
      <c r="O462" s="263" t="str">
        <f>IF(Tableau3453[[#This Row],[Date 
du paiement]]="",IF(Tableau3453[[#This Row],[Jours]]&gt;30,IF(Tableau3453[[#This Row],[Jours]]&lt;60,Tableau3453[[#This Row],[Montant
de la facture
CHF]],""),""),"")</f>
        <v/>
      </c>
      <c r="P462" s="263" t="str">
        <f>IF(Tableau3453[[#This Row],[Date 
du paiement]]="",IF(Tableau3453[[#This Row],[Jours]]&gt;60,Tableau3453[[#This Row],[Montant
de la facture
CHF]],""),"")</f>
        <v/>
      </c>
      <c r="Q462" s="266"/>
      <c r="R462" s="267" t="str">
        <f>Tableau3453[[#This Row],[Solde 
ouverte
fm]]</f>
        <v/>
      </c>
      <c r="S46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3" spans="1:19" hidden="1" outlineLevel="1" x14ac:dyDescent="0.25">
      <c r="A463" s="268">
        <v>240656</v>
      </c>
      <c r="B463" s="239">
        <v>30</v>
      </c>
      <c r="C463" s="352" t="str">
        <f>IF(Tableau3453[[#This Row],[Date 
du paiement]]="",IF(Tableau3453[[#This Row],[Jours]]&gt;Tableau3453[[#This Row],[Conditions
pmt+]]+5,"oui",""),"")</f>
        <v/>
      </c>
      <c r="D463" s="262" t="s">
        <v>880</v>
      </c>
      <c r="E463" s="240">
        <v>45475</v>
      </c>
      <c r="F463" s="263">
        <v>873.2</v>
      </c>
      <c r="G463" s="242" t="str">
        <f>IF(Tableau3453[[#This Row],[Date 
du paiement]]="",Tableau3453[[#This Row],[Montant
de la facture
CHF]],"")</f>
        <v/>
      </c>
      <c r="H463" s="243"/>
      <c r="I463" s="245">
        <v>45477</v>
      </c>
      <c r="J463" s="246">
        <v>45499</v>
      </c>
      <c r="K463" s="247" t="s">
        <v>58</v>
      </c>
      <c r="L463" s="264"/>
      <c r="M463" s="248">
        <f>IF(Tableau3453[[#This Row],[Date 
du paiement]]="",$D$4-Tableau3453[[#This Row],[Date
de la facture]],Tableau3453[[#This Row],[Date 
du paiement]]-Tableau3453[[#This Row],[Date
de la facture]])</f>
        <v>24</v>
      </c>
      <c r="N463" s="263" t="str">
        <f>IF(Tableau3453[[#This Row],[Date 
du paiement]]="",IF(Tableau3453[[#This Row],[Jours]]&lt;30,Tableau3453[[#This Row],[Montant
de la facture
CHF]],""),"")</f>
        <v/>
      </c>
      <c r="O463" s="263" t="str">
        <f>IF(Tableau3453[[#This Row],[Date 
du paiement]]="",IF(Tableau3453[[#This Row],[Jours]]&gt;30,IF(Tableau3453[[#This Row],[Jours]]&lt;60,Tableau3453[[#This Row],[Montant
de la facture
CHF]],""),""),"")</f>
        <v/>
      </c>
      <c r="P463" s="263" t="str">
        <f>IF(Tableau3453[[#This Row],[Date 
du paiement]]="",IF(Tableau3453[[#This Row],[Jours]]&gt;60,Tableau3453[[#This Row],[Montant
de la facture
CHF]],""),"")</f>
        <v/>
      </c>
      <c r="Q463" s="266"/>
      <c r="R463" s="267" t="str">
        <f>Tableau3453[[#This Row],[Solde 
ouverte
fm]]</f>
        <v/>
      </c>
      <c r="S4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4" spans="1:19" hidden="1" outlineLevel="1" x14ac:dyDescent="0.25">
      <c r="A464" s="268">
        <v>240666</v>
      </c>
      <c r="B464" s="239">
        <v>30</v>
      </c>
      <c r="C464" s="352" t="str">
        <f>IF(Tableau3453[[#This Row],[Date 
du paiement]]="",IF(Tableau3453[[#This Row],[Jours]]&gt;Tableau3453[[#This Row],[Conditions
pmt+]]+5,"oui",""),"")</f>
        <v/>
      </c>
      <c r="D464" s="262" t="s">
        <v>880</v>
      </c>
      <c r="E464" s="240">
        <v>45475</v>
      </c>
      <c r="F464" s="263">
        <v>489.7</v>
      </c>
      <c r="G464" s="242" t="str">
        <f>IF(Tableau3453[[#This Row],[Date 
du paiement]]="",Tableau3453[[#This Row],[Montant
de la facture
CHF]],"")</f>
        <v/>
      </c>
      <c r="H464" s="243"/>
      <c r="I464" s="245">
        <v>45477</v>
      </c>
      <c r="J464" s="246">
        <v>45499</v>
      </c>
      <c r="K464" s="247" t="s">
        <v>58</v>
      </c>
      <c r="L464" s="264"/>
      <c r="M464" s="265">
        <f>IF(Tableau3453[[#This Row],[Date 
du paiement]]="",$D$4-Tableau3453[[#This Row],[Date
de la facture]],Tableau3453[[#This Row],[Date 
du paiement]]-Tableau3453[[#This Row],[Date
de la facture]])</f>
        <v>24</v>
      </c>
      <c r="N464" s="263" t="str">
        <f>IF(Tableau3453[[#This Row],[Date 
du paiement]]="",IF(Tableau3453[[#This Row],[Jours]]&lt;30,Tableau3453[[#This Row],[Montant
de la facture
CHF]],""),"")</f>
        <v/>
      </c>
      <c r="O464" s="263" t="str">
        <f>IF(Tableau3453[[#This Row],[Date 
du paiement]]="",IF(Tableau3453[[#This Row],[Jours]]&gt;30,IF(Tableau3453[[#This Row],[Jours]]&lt;60,Tableau3453[[#This Row],[Montant
de la facture
CHF]],""),""),"")</f>
        <v/>
      </c>
      <c r="P464" s="263" t="str">
        <f>IF(Tableau3453[[#This Row],[Date 
du paiement]]="",IF(Tableau3453[[#This Row],[Jours]]&gt;60,Tableau3453[[#This Row],[Montant
de la facture
CHF]],""),"")</f>
        <v/>
      </c>
      <c r="Q464" s="266"/>
      <c r="R464" s="267" t="str">
        <f>Tableau3453[[#This Row],[Solde 
ouverte
fm]]</f>
        <v/>
      </c>
      <c r="S46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5" spans="1:19" hidden="1" outlineLevel="1" x14ac:dyDescent="0.25">
      <c r="A465" s="268">
        <v>240917</v>
      </c>
      <c r="B465" s="239">
        <v>30</v>
      </c>
      <c r="C465" s="352" t="str">
        <f>IF(Tableau3453[[#This Row],[Date 
du paiement]]="",IF(Tableau3453[[#This Row],[Jours]]&gt;Tableau3453[[#This Row],[Conditions
pmt+]]+5,"oui",""),"")</f>
        <v/>
      </c>
      <c r="D465" s="262" t="s">
        <v>1559</v>
      </c>
      <c r="E465" s="240">
        <v>45566</v>
      </c>
      <c r="F465" s="263">
        <v>1566.75</v>
      </c>
      <c r="G465" s="396" t="str">
        <f>IF(Tableau3453[[#This Row],[Date 
du paiement]]="",Tableau3453[[#This Row],[Montant
de la facture
CHF]],"")</f>
        <v/>
      </c>
      <c r="H465" s="243"/>
      <c r="I465" s="245">
        <v>45566</v>
      </c>
      <c r="J465" s="246">
        <v>45600</v>
      </c>
      <c r="K465" s="247" t="s">
        <v>58</v>
      </c>
      <c r="L465" s="264"/>
      <c r="M465" s="265">
        <f>IF(Tableau3453[[#This Row],[Date 
du paiement]]="",$D$4-Tableau3453[[#This Row],[Date
de la facture]],Tableau3453[[#This Row],[Date 
du paiement]]-Tableau3453[[#This Row],[Date
de la facture]])</f>
        <v>34</v>
      </c>
      <c r="N465" s="263" t="str">
        <f>IF(Tableau3453[[#This Row],[Date 
du paiement]]="",IF(Tableau3453[[#This Row],[Jours]]&lt;30,Tableau3453[[#This Row],[Montant
de la facture
CHF]],""),"")</f>
        <v/>
      </c>
      <c r="O465" s="263" t="str">
        <f>IF(Tableau3453[[#This Row],[Date 
du paiement]]="",IF(Tableau3453[[#This Row],[Jours]]&gt;30,IF(Tableau3453[[#This Row],[Jours]]&lt;60,Tableau3453[[#This Row],[Montant
de la facture
CHF]],""),""),"")</f>
        <v/>
      </c>
      <c r="P465" s="263" t="str">
        <f>IF(Tableau3453[[#This Row],[Date 
du paiement]]="",IF(Tableau3453[[#This Row],[Jours]]&gt;60,Tableau3453[[#This Row],[Montant
de la facture
CHF]],""),"")</f>
        <v/>
      </c>
      <c r="Q465" s="266"/>
      <c r="R465" s="267" t="str">
        <f>Tableau3453[[#This Row],[Solde 
ouverte
fm]]</f>
        <v/>
      </c>
      <c r="S46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6" spans="1:19" hidden="1" outlineLevel="1" x14ac:dyDescent="0.25">
      <c r="A466" s="380">
        <v>240687</v>
      </c>
      <c r="B466" s="408" t="s">
        <v>857</v>
      </c>
      <c r="C466" s="381" t="str">
        <f>IF(Tableau3453[[#This Row],[Date 
du paiement]]="",IF(Tableau3453[[#This Row],[Jours]]&gt;Tableau3453[[#This Row],[Conditions
pmt+]]+5,"oui",""),"")</f>
        <v/>
      </c>
      <c r="D466" s="382" t="s">
        <v>895</v>
      </c>
      <c r="E466" s="383">
        <v>45481</v>
      </c>
      <c r="F466" s="384">
        <v>1988.95</v>
      </c>
      <c r="G466" s="410" t="str">
        <f>IF(Tableau3453[[#This Row],[Date 
du paiement]]="",Tableau3453[[#This Row],[Montant
de la facture
CHF]],"")</f>
        <v/>
      </c>
      <c r="H466" s="411"/>
      <c r="I466" s="386">
        <v>45483</v>
      </c>
      <c r="J466" s="387">
        <v>45579</v>
      </c>
      <c r="K466" s="388" t="s">
        <v>58</v>
      </c>
      <c r="L466" s="389">
        <v>2</v>
      </c>
      <c r="M466" s="390">
        <f>IF(Tableau3453[[#This Row],[Date 
du paiement]]="",$D$4-Tableau3453[[#This Row],[Date
de la facture]],Tableau3453[[#This Row],[Date 
du paiement]]-Tableau3453[[#This Row],[Date
de la facture]])</f>
        <v>98</v>
      </c>
      <c r="N466" s="384" t="str">
        <f>IF(Tableau3453[[#This Row],[Date 
du paiement]]="",IF(Tableau3453[[#This Row],[Jours]]&lt;30,Tableau3453[[#This Row],[Montant
de la facture
CHF]],""),"")</f>
        <v/>
      </c>
      <c r="O466" s="384" t="str">
        <f>IF(Tableau3453[[#This Row],[Date 
du paiement]]="",IF(Tableau3453[[#This Row],[Jours]]&gt;30,IF(Tableau3453[[#This Row],[Jours]]&lt;60,Tableau3453[[#This Row],[Montant
de la facture
CHF]],""),""),"")</f>
        <v/>
      </c>
      <c r="P466" s="384" t="str">
        <f>IF(Tableau3453[[#This Row],[Date 
du paiement]]="",IF(Tableau3453[[#This Row],[Jours]]&gt;60,Tableau3453[[#This Row],[Montant
de la facture
CHF]],""),"")</f>
        <v/>
      </c>
      <c r="Q466" s="416" t="s">
        <v>1558</v>
      </c>
      <c r="R466" s="391" t="str">
        <f>Tableau3453[[#This Row],[Solde 
ouverte
fm]]</f>
        <v/>
      </c>
      <c r="S466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7" spans="1:19" hidden="1" outlineLevel="1" x14ac:dyDescent="0.25">
      <c r="A467" s="268">
        <v>240636</v>
      </c>
      <c r="B467" s="239" t="s">
        <v>870</v>
      </c>
      <c r="C467" s="352" t="str">
        <f>IF(Tableau3453[[#This Row],[Date 
du paiement]]="",IF(Tableau3453[[#This Row],[Jours]]&gt;Tableau3453[[#This Row],[Conditions
pmt+]]+5,"oui",""),"")</f>
        <v/>
      </c>
      <c r="D467" s="262" t="s">
        <v>1118</v>
      </c>
      <c r="E467" s="240">
        <v>45476</v>
      </c>
      <c r="F467" s="263">
        <v>109.2</v>
      </c>
      <c r="G467" s="242" t="str">
        <f>IF(Tableau3453[[#This Row],[Date 
du paiement]]="",Tableau3453[[#This Row],[Montant
de la facture
CHF]],"")</f>
        <v/>
      </c>
      <c r="H467" s="243"/>
      <c r="I467" s="245">
        <v>45477</v>
      </c>
      <c r="J467" s="246">
        <v>45467</v>
      </c>
      <c r="K467" s="247" t="s">
        <v>907</v>
      </c>
      <c r="L467" s="264"/>
      <c r="M467" s="265">
        <f>IF(Tableau3453[[#This Row],[Date 
du paiement]]="",$D$4-Tableau3453[[#This Row],[Date
de la facture]],Tableau3453[[#This Row],[Date 
du paiement]]-Tableau3453[[#This Row],[Date
de la facture]])</f>
        <v>-9</v>
      </c>
      <c r="N467" s="263" t="str">
        <f>IF(Tableau3453[[#This Row],[Date 
du paiement]]="",IF(Tableau3453[[#This Row],[Jours]]&lt;30,Tableau3453[[#This Row],[Montant
de la facture
CHF]],""),"")</f>
        <v/>
      </c>
      <c r="O467" s="263" t="str">
        <f>IF(Tableau3453[[#This Row],[Date 
du paiement]]="",IF(Tableau3453[[#This Row],[Jours]]&gt;30,IF(Tableau3453[[#This Row],[Jours]]&lt;60,Tableau3453[[#This Row],[Montant
de la facture
CHF]],""),""),"")</f>
        <v/>
      </c>
      <c r="P467" s="263" t="str">
        <f>IF(Tableau3453[[#This Row],[Date 
du paiement]]="",IF(Tableau3453[[#This Row],[Jours]]&gt;60,Tableau3453[[#This Row],[Montant
de la facture
CHF]],""),"")</f>
        <v/>
      </c>
      <c r="Q467" s="266"/>
      <c r="R467" s="267" t="str">
        <f>Tableau3453[[#This Row],[Solde 
ouverte
fm]]</f>
        <v/>
      </c>
      <c r="S46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8" spans="1:19" hidden="1" outlineLevel="1" x14ac:dyDescent="0.25">
      <c r="A468" s="268">
        <v>240661</v>
      </c>
      <c r="B468" s="239">
        <v>30</v>
      </c>
      <c r="C468" s="352" t="str">
        <f>IF(Tableau3453[[#This Row],[Date 
du paiement]]="",IF(Tableau3453[[#This Row],[Jours]]&gt;Tableau3453[[#This Row],[Conditions
pmt+]]+5,"oui",""),"")</f>
        <v/>
      </c>
      <c r="D468" s="262" t="s">
        <v>964</v>
      </c>
      <c r="E468" s="240">
        <v>45475</v>
      </c>
      <c r="F468" s="263">
        <v>2953.4</v>
      </c>
      <c r="G468" s="242" t="str">
        <f>IF(Tableau3453[[#This Row],[Date 
du paiement]]="",Tableau3453[[#This Row],[Montant
de la facture
CHF]],"")</f>
        <v/>
      </c>
      <c r="H468" s="243"/>
      <c r="I468" s="245">
        <v>45477</v>
      </c>
      <c r="J468" s="246">
        <v>45509</v>
      </c>
      <c r="K468" s="247" t="s">
        <v>58</v>
      </c>
      <c r="L468" s="264"/>
      <c r="M468" s="265">
        <f>IF(Tableau3453[[#This Row],[Date 
du paiement]]="",$D$4-Tableau3453[[#This Row],[Date
de la facture]],Tableau3453[[#This Row],[Date 
du paiement]]-Tableau3453[[#This Row],[Date
de la facture]])</f>
        <v>34</v>
      </c>
      <c r="N468" s="263" t="str">
        <f>IF(Tableau3453[[#This Row],[Date 
du paiement]]="",IF(Tableau3453[[#This Row],[Jours]]&lt;30,Tableau3453[[#This Row],[Montant
de la facture
CHF]],""),"")</f>
        <v/>
      </c>
      <c r="O468" s="263" t="str">
        <f>IF(Tableau3453[[#This Row],[Date 
du paiement]]="",IF(Tableau3453[[#This Row],[Jours]]&gt;30,IF(Tableau3453[[#This Row],[Jours]]&lt;60,Tableau3453[[#This Row],[Montant
de la facture
CHF]],""),""),"")</f>
        <v/>
      </c>
      <c r="P468" s="263" t="str">
        <f>IF(Tableau3453[[#This Row],[Date 
du paiement]]="",IF(Tableau3453[[#This Row],[Jours]]&gt;60,Tableau3453[[#This Row],[Montant
de la facture
CHF]],""),"")</f>
        <v/>
      </c>
      <c r="Q468" s="266"/>
      <c r="R468" s="267" t="str">
        <f>Tableau3453[[#This Row],[Solde 
ouverte
fm]]</f>
        <v/>
      </c>
      <c r="S46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69" spans="1:19" hidden="1" outlineLevel="1" x14ac:dyDescent="0.25">
      <c r="A469" s="268">
        <v>240693</v>
      </c>
      <c r="B469" s="239">
        <v>30</v>
      </c>
      <c r="C469" s="352" t="str">
        <f>IF(Tableau3453[[#This Row],[Date 
du paiement]]="",IF(Tableau3453[[#This Row],[Jours]]&gt;Tableau3453[[#This Row],[Conditions
pmt+]]+5,"oui",""),"")</f>
        <v/>
      </c>
      <c r="D469" s="262" t="s">
        <v>900</v>
      </c>
      <c r="E469" s="240">
        <v>45484</v>
      </c>
      <c r="F469" s="263">
        <v>8945.25</v>
      </c>
      <c r="G469" s="242" t="str">
        <f>IF(Tableau3453[[#This Row],[Date 
du paiement]]="",Tableau3453[[#This Row],[Montant
de la facture
CHF]],"")</f>
        <v/>
      </c>
      <c r="H469" s="243"/>
      <c r="I469" s="245">
        <v>45485</v>
      </c>
      <c r="J469" s="246">
        <v>45520</v>
      </c>
      <c r="K469" s="247" t="s">
        <v>58</v>
      </c>
      <c r="L469" s="264"/>
      <c r="M469" s="265">
        <f>IF(Tableau3453[[#This Row],[Date 
du paiement]]="",$D$4-Tableau3453[[#This Row],[Date
de la facture]],Tableau3453[[#This Row],[Date 
du paiement]]-Tableau3453[[#This Row],[Date
de la facture]])</f>
        <v>36</v>
      </c>
      <c r="N469" s="263" t="str">
        <f>IF(Tableau3453[[#This Row],[Date 
du paiement]]="",IF(Tableau3453[[#This Row],[Jours]]&lt;30,Tableau3453[[#This Row],[Montant
de la facture
CHF]],""),"")</f>
        <v/>
      </c>
      <c r="O469" s="263" t="str">
        <f>IF(Tableau3453[[#This Row],[Date 
du paiement]]="",IF(Tableau3453[[#This Row],[Jours]]&gt;30,IF(Tableau3453[[#This Row],[Jours]]&lt;60,Tableau3453[[#This Row],[Montant
de la facture
CHF]],""),""),"")</f>
        <v/>
      </c>
      <c r="P469" s="263" t="str">
        <f>IF(Tableau3453[[#This Row],[Date 
du paiement]]="",IF(Tableau3453[[#This Row],[Jours]]&gt;60,Tableau3453[[#This Row],[Montant
de la facture
CHF]],""),"")</f>
        <v/>
      </c>
      <c r="Q469" s="266"/>
      <c r="R469" s="267" t="str">
        <f>Tableau3453[[#This Row],[Solde 
ouverte
fm]]</f>
        <v/>
      </c>
      <c r="S46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0" spans="1:19" hidden="1" outlineLevel="1" x14ac:dyDescent="0.25">
      <c r="A470" s="407">
        <v>240614</v>
      </c>
      <c r="B470" s="408" t="s">
        <v>860</v>
      </c>
      <c r="C470" s="381" t="str">
        <f>IF(Tableau3453[[#This Row],[Date 
du paiement]]="",IF(Tableau3453[[#This Row],[Jours]]&gt;Tableau3453[[#This Row],[Conditions
pmt+]]+5,"oui",""),"")</f>
        <v/>
      </c>
      <c r="D470" s="409" t="s">
        <v>1016</v>
      </c>
      <c r="E470" s="383">
        <v>45467</v>
      </c>
      <c r="F470" s="384">
        <v>2253.9</v>
      </c>
      <c r="G470" s="410" t="str">
        <f>IF(Tableau3453[[#This Row],[Date 
du paiement]]="",Tableau3453[[#This Row],[Montant
de la facture
CHF]],"")</f>
        <v/>
      </c>
      <c r="H470" s="411"/>
      <c r="I470" s="386">
        <v>45468</v>
      </c>
      <c r="J470" s="387">
        <v>45497</v>
      </c>
      <c r="K470" s="388" t="s">
        <v>58</v>
      </c>
      <c r="L470" s="412"/>
      <c r="M470" s="412">
        <f>IF(Tableau3453[[#This Row],[Date 
du paiement]]="",$D$4-Tableau3453[[#This Row],[Date
de la facture]],Tableau3453[[#This Row],[Date 
du paiement]]-Tableau3453[[#This Row],[Date
de la facture]])</f>
        <v>30</v>
      </c>
      <c r="N470" s="413" t="str">
        <f>IF(Tableau3453[[#This Row],[Date 
du paiement]]="",IF(Tableau3453[[#This Row],[Jours]]&lt;30,Tableau3453[[#This Row],[Montant
de la facture
CHF]],""),"")</f>
        <v/>
      </c>
      <c r="O470" s="413" t="str">
        <f>IF(Tableau3453[[#This Row],[Date 
du paiement]]="",IF(Tableau3453[[#This Row],[Jours]]&gt;30,IF(Tableau3453[[#This Row],[Jours]]&lt;60,Tableau3453[[#This Row],[Montant
de la facture
CHF]],""),""),"")</f>
        <v/>
      </c>
      <c r="P470" s="413" t="str">
        <f>IF(Tableau3453[[#This Row],[Date 
du paiement]]="",IF(Tableau3453[[#This Row],[Jours]]&gt;60,Tableau3453[[#This Row],[Montant
de la facture
CHF]],""),"")</f>
        <v/>
      </c>
      <c r="Q470" s="414"/>
      <c r="R470" s="415" t="str">
        <f>Tableau3453[[#This Row],[Solde 
ouverte
fm]]</f>
        <v/>
      </c>
      <c r="S470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1" spans="1:19" hidden="1" outlineLevel="1" x14ac:dyDescent="0.25">
      <c r="A471" s="268">
        <v>240709</v>
      </c>
      <c r="B471" s="239">
        <v>60</v>
      </c>
      <c r="C471" s="352" t="str">
        <f>IF(Tableau3453[[#This Row],[Date 
du paiement]]="",IF(Tableau3453[[#This Row],[Jours]]&gt;Tableau3453[[#This Row],[Conditions
pmt+]]+5,"oui",""),"")</f>
        <v/>
      </c>
      <c r="D471" s="262" t="s">
        <v>916</v>
      </c>
      <c r="E471" s="240">
        <v>45489</v>
      </c>
      <c r="F471" s="263">
        <v>625.04999999999995</v>
      </c>
      <c r="G471" s="242" t="str">
        <f>IF(Tableau3453[[#This Row],[Date 
du paiement]]="",Tableau3453[[#This Row],[Montant
de la facture
CHF]],"")</f>
        <v/>
      </c>
      <c r="H471" s="243"/>
      <c r="I471" s="245">
        <v>45490</v>
      </c>
      <c r="J471" s="246">
        <v>45551</v>
      </c>
      <c r="K471" s="247" t="s">
        <v>58</v>
      </c>
      <c r="L471" s="264"/>
      <c r="M471" s="265">
        <f>IF(Tableau3453[[#This Row],[Date 
du paiement]]="",$D$4-Tableau3453[[#This Row],[Date
de la facture]],Tableau3453[[#This Row],[Date 
du paiement]]-Tableau3453[[#This Row],[Date
de la facture]])</f>
        <v>62</v>
      </c>
      <c r="N471" s="263" t="str">
        <f>IF(Tableau3453[[#This Row],[Date 
du paiement]]="",IF(Tableau3453[[#This Row],[Jours]]&lt;30,Tableau3453[[#This Row],[Montant
de la facture
CHF]],""),"")</f>
        <v/>
      </c>
      <c r="O471" s="263" t="str">
        <f>IF(Tableau3453[[#This Row],[Date 
du paiement]]="",IF(Tableau3453[[#This Row],[Jours]]&gt;30,IF(Tableau3453[[#This Row],[Jours]]&lt;60,Tableau3453[[#This Row],[Montant
de la facture
CHF]],""),""),"")</f>
        <v/>
      </c>
      <c r="P471" s="263" t="str">
        <f>IF(Tableau3453[[#This Row],[Date 
du paiement]]="",IF(Tableau3453[[#This Row],[Jours]]&gt;60,Tableau3453[[#This Row],[Montant
de la facture
CHF]],""),"")</f>
        <v/>
      </c>
      <c r="Q471" s="266"/>
      <c r="R471" s="267" t="str">
        <f>Tableau3453[[#This Row],[Solde 
ouverte
fm]]</f>
        <v/>
      </c>
      <c r="S47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2" spans="1:19" outlineLevel="1" x14ac:dyDescent="0.25">
      <c r="A472" s="473">
        <v>240847</v>
      </c>
      <c r="B472" s="454">
        <v>30</v>
      </c>
      <c r="C472" s="495" t="str">
        <f ca="1">IF(Tableau3453[[#This Row],[Date 
du paiement]]="",IF(Tableau3453[[#This Row],[Jours]]&gt;Tableau3453[[#This Row],[Conditions
pmt+]]+5,"oui",""),"")</f>
        <v/>
      </c>
      <c r="D472" s="467" t="s">
        <v>914</v>
      </c>
      <c r="E472" s="455">
        <v>45608</v>
      </c>
      <c r="F472" s="468">
        <v>14117.55</v>
      </c>
      <c r="G472" s="501">
        <f>IF(Tableau3453[[#This Row],[Date 
du paiement]]="",Tableau3453[[#This Row],[Montant
de la facture
CHF]],"")</f>
        <v>14117.55</v>
      </c>
      <c r="H472" s="458"/>
      <c r="I472" s="459">
        <v>45610</v>
      </c>
      <c r="J472" s="460"/>
      <c r="K472" s="461"/>
      <c r="L472" s="469"/>
      <c r="M472" s="470">
        <f ca="1">IF(Tableau3453[[#This Row],[Date 
du paiement]]="",$D$4-Tableau3453[[#This Row],[Date
de la facture]],Tableau3453[[#This Row],[Date 
du paiement]]-Tableau3453[[#This Row],[Date
de la facture]])</f>
        <v>9.4694253472189303</v>
      </c>
      <c r="N472" s="468">
        <f ca="1">IF(Tableau3453[[#This Row],[Date 
du paiement]]="",IF(Tableau3453[[#This Row],[Jours]]&lt;30,Tableau3453[[#This Row],[Montant
de la facture
CHF]],""),"")</f>
        <v>14117.55</v>
      </c>
      <c r="O472" s="468" t="str">
        <f ca="1">IF(Tableau3453[[#This Row],[Date 
du paiement]]="",IF(Tableau3453[[#This Row],[Jours]]&gt;30,IF(Tableau3453[[#This Row],[Jours]]&lt;60,Tableau3453[[#This Row],[Montant
de la facture
CHF]],""),""),"")</f>
        <v/>
      </c>
      <c r="P472" s="468" t="str">
        <f ca="1">IF(Tableau3453[[#This Row],[Date 
du paiement]]="",IF(Tableau3453[[#This Row],[Jours]]&gt;60,Tableau3453[[#This Row],[Montant
de la facture
CHF]],""),"")</f>
        <v/>
      </c>
      <c r="Q472" s="471"/>
      <c r="R472" s="472">
        <f>Tableau3453[[#This Row],[Solde 
ouverte
fm]]</f>
        <v>14117.55</v>
      </c>
      <c r="S472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473" spans="1:19" hidden="1" outlineLevel="1" x14ac:dyDescent="0.25">
      <c r="A473" s="380">
        <v>240668</v>
      </c>
      <c r="B473" s="408">
        <v>30</v>
      </c>
      <c r="C473" s="381" t="str">
        <f>IF(Tableau3453[[#This Row],[Date 
du paiement]]="",IF(Tableau3453[[#This Row],[Jours]]&gt;Tableau3453[[#This Row],[Conditions
pmt+]]+5,"oui",""),"")</f>
        <v/>
      </c>
      <c r="D473" s="382" t="s">
        <v>1118</v>
      </c>
      <c r="E473" s="383">
        <v>45477</v>
      </c>
      <c r="F473" s="384">
        <v>536.4</v>
      </c>
      <c r="G473" s="410" t="str">
        <f>IF(Tableau3453[[#This Row],[Date 
du paiement]]="",Tableau3453[[#This Row],[Montant
de la facture
CHF]],"")</f>
        <v/>
      </c>
      <c r="H473" s="411"/>
      <c r="I473" s="386">
        <v>45478</v>
      </c>
      <c r="J473" s="387">
        <v>45474</v>
      </c>
      <c r="K473" s="388" t="s">
        <v>907</v>
      </c>
      <c r="L473" s="389"/>
      <c r="M473" s="390">
        <f>IF(Tableau3453[[#This Row],[Date 
du paiement]]="",$D$4-Tableau3453[[#This Row],[Date
de la facture]],Tableau3453[[#This Row],[Date 
du paiement]]-Tableau3453[[#This Row],[Date
de la facture]])</f>
        <v>-3</v>
      </c>
      <c r="N473" s="384" t="str">
        <f>IF(Tableau3453[[#This Row],[Date 
du paiement]]="",IF(Tableau3453[[#This Row],[Jours]]&lt;30,Tableau3453[[#This Row],[Montant
de la facture
CHF]],""),"")</f>
        <v/>
      </c>
      <c r="O473" s="384" t="str">
        <f>IF(Tableau3453[[#This Row],[Date 
du paiement]]="",IF(Tableau3453[[#This Row],[Jours]]&gt;30,IF(Tableau3453[[#This Row],[Jours]]&lt;60,Tableau3453[[#This Row],[Montant
de la facture
CHF]],""),""),"")</f>
        <v/>
      </c>
      <c r="P473" s="384" t="str">
        <f>IF(Tableau3453[[#This Row],[Date 
du paiement]]="",IF(Tableau3453[[#This Row],[Jours]]&gt;60,Tableau3453[[#This Row],[Montant
de la facture
CHF]],""),"")</f>
        <v/>
      </c>
      <c r="Q473" s="416"/>
      <c r="R473" s="391" t="str">
        <f>Tableau3453[[#This Row],[Solde 
ouverte
fm]]</f>
        <v/>
      </c>
      <c r="S473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4" spans="1:19" hidden="1" outlineLevel="1" x14ac:dyDescent="0.25">
      <c r="A474" s="268">
        <v>240422</v>
      </c>
      <c r="B474" s="239" t="s">
        <v>860</v>
      </c>
      <c r="C474" s="352" t="str">
        <f>IF(Tableau3453[[#This Row],[Date 
du paiement]]="",IF(Tableau3453[[#This Row],[Jours]]&gt;Tableau3453[[#This Row],[Conditions
pmt+]]+5,"oui",""),"")</f>
        <v/>
      </c>
      <c r="D474" s="262" t="s">
        <v>973</v>
      </c>
      <c r="E474" s="240">
        <v>45477</v>
      </c>
      <c r="F474" s="263">
        <v>5877.6</v>
      </c>
      <c r="G474" s="242" t="str">
        <f>IF(Tableau3453[[#This Row],[Date 
du paiement]]="",Tableau3453[[#This Row],[Montant
de la facture
CHF]],"")</f>
        <v/>
      </c>
      <c r="H474" s="243"/>
      <c r="I474" s="245">
        <v>45478</v>
      </c>
      <c r="J474" s="246">
        <v>45518</v>
      </c>
      <c r="K474" s="247" t="s">
        <v>58</v>
      </c>
      <c r="L474" s="264">
        <v>1</v>
      </c>
      <c r="M474" s="265">
        <f>IF(Tableau3453[[#This Row],[Date 
du paiement]]="",$D$4-Tableau3453[[#This Row],[Date
de la facture]],Tableau3453[[#This Row],[Date 
du paiement]]-Tableau3453[[#This Row],[Date
de la facture]])</f>
        <v>41</v>
      </c>
      <c r="N474" s="263" t="str">
        <f>IF(Tableau3453[[#This Row],[Date 
du paiement]]="",IF(Tableau3453[[#This Row],[Jours]]&lt;30,Tableau3453[[#This Row],[Montant
de la facture
CHF]],""),"")</f>
        <v/>
      </c>
      <c r="O474" s="263" t="str">
        <f>IF(Tableau3453[[#This Row],[Date 
du paiement]]="",IF(Tableau3453[[#This Row],[Jours]]&gt;30,IF(Tableau3453[[#This Row],[Jours]]&lt;60,Tableau3453[[#This Row],[Montant
de la facture
CHF]],""),""),"")</f>
        <v/>
      </c>
      <c r="P474" s="263" t="str">
        <f>IF(Tableau3453[[#This Row],[Date 
du paiement]]="",IF(Tableau3453[[#This Row],[Jours]]&gt;60,Tableau3453[[#This Row],[Montant
de la facture
CHF]],""),"")</f>
        <v/>
      </c>
      <c r="Q474" s="266"/>
      <c r="R474" s="267" t="str">
        <f>Tableau3453[[#This Row],[Solde 
ouverte
fm]]</f>
        <v/>
      </c>
      <c r="S4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5" spans="1:19" hidden="1" outlineLevel="1" x14ac:dyDescent="0.25">
      <c r="A475" s="268">
        <v>240635</v>
      </c>
      <c r="B475" s="239">
        <v>30</v>
      </c>
      <c r="C475" s="352" t="str">
        <f>IF(Tableau3453[[#This Row],[Date 
du paiement]]="",IF(Tableau3453[[#This Row],[Jours]]&gt;Tableau3453[[#This Row],[Conditions
pmt+]]+5,"oui",""),"")</f>
        <v/>
      </c>
      <c r="D475" s="262" t="s">
        <v>1107</v>
      </c>
      <c r="E475" s="240">
        <v>45470</v>
      </c>
      <c r="F475" s="263">
        <v>1779.2</v>
      </c>
      <c r="G475" s="242" t="str">
        <f>IF(Tableau3453[[#This Row],[Date 
du paiement]]="",Tableau3453[[#This Row],[Montant
de la facture
CHF]],"")</f>
        <v/>
      </c>
      <c r="H475" s="243" t="s">
        <v>1108</v>
      </c>
      <c r="I475" s="245">
        <v>45470</v>
      </c>
      <c r="J475" s="246">
        <v>45537</v>
      </c>
      <c r="K475" s="247" t="s">
        <v>58</v>
      </c>
      <c r="L475" s="248">
        <v>4</v>
      </c>
      <c r="M475" s="265">
        <f>IF(Tableau3453[[#This Row],[Date 
du paiement]]="",$D$4-Tableau3453[[#This Row],[Date
de la facture]],Tableau3453[[#This Row],[Date 
du paiement]]-Tableau3453[[#This Row],[Date
de la facture]])</f>
        <v>67</v>
      </c>
      <c r="N475" s="263" t="str">
        <f>IF(Tableau3453[[#This Row],[Date 
du paiement]]="",IF(Tableau3453[[#This Row],[Jours]]&lt;30,Tableau3453[[#This Row],[Montant
de la facture
CHF]],""),"")</f>
        <v/>
      </c>
      <c r="O475" s="263" t="str">
        <f>IF(Tableau3453[[#This Row],[Date 
du paiement]]="",IF(Tableau3453[[#This Row],[Jours]]&gt;30,IF(Tableau3453[[#This Row],[Jours]]&lt;60,Tableau3453[[#This Row],[Montant
de la facture
CHF]],""),""),"")</f>
        <v/>
      </c>
      <c r="P475" s="263" t="str">
        <f>IF(Tableau3453[[#This Row],[Date 
du paiement]]="",IF(Tableau3453[[#This Row],[Jours]]&gt;60,Tableau3453[[#This Row],[Montant
de la facture
CHF]],""),"")</f>
        <v/>
      </c>
      <c r="Q475" s="266" t="s">
        <v>1416</v>
      </c>
      <c r="R475" s="267" t="str">
        <f>Tableau3453[[#This Row],[Solde 
ouverte
fm]]</f>
        <v/>
      </c>
      <c r="S47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6" spans="1:19" hidden="1" outlineLevel="1" x14ac:dyDescent="0.25">
      <c r="A476" s="268">
        <v>240675</v>
      </c>
      <c r="B476" s="239">
        <v>30</v>
      </c>
      <c r="C476" s="352" t="str">
        <f>IF(Tableau3453[[#This Row],[Date 
du paiement]]="",IF(Tableau3453[[#This Row],[Jours]]&gt;Tableau3453[[#This Row],[Conditions
pmt+]]+5,"oui",""),"")</f>
        <v/>
      </c>
      <c r="D476" s="262" t="s">
        <v>880</v>
      </c>
      <c r="E476" s="240">
        <v>45476</v>
      </c>
      <c r="F476" s="263">
        <v>699.7</v>
      </c>
      <c r="G476" s="242" t="str">
        <f>IF(Tableau3453[[#This Row],[Date 
du paiement]]="",Tableau3453[[#This Row],[Montant
de la facture
CHF]],"")</f>
        <v/>
      </c>
      <c r="H476" s="243"/>
      <c r="I476" s="245">
        <v>45477</v>
      </c>
      <c r="J476" s="246">
        <v>45520</v>
      </c>
      <c r="K476" s="247" t="s">
        <v>58</v>
      </c>
      <c r="L476" s="264">
        <v>2</v>
      </c>
      <c r="M476" s="265">
        <f>IF(Tableau3453[[#This Row],[Date 
du paiement]]="",$D$4-Tableau3453[[#This Row],[Date
de la facture]],Tableau3453[[#This Row],[Date 
du paiement]]-Tableau3453[[#This Row],[Date
de la facture]])</f>
        <v>44</v>
      </c>
      <c r="N476" s="263" t="str">
        <f>IF(Tableau3453[[#This Row],[Date 
du paiement]]="",IF(Tableau3453[[#This Row],[Jours]]&lt;30,Tableau3453[[#This Row],[Montant
de la facture
CHF]],""),"")</f>
        <v/>
      </c>
      <c r="O476" s="263" t="str">
        <f>IF(Tableau3453[[#This Row],[Date 
du paiement]]="",IF(Tableau3453[[#This Row],[Jours]]&gt;30,IF(Tableau3453[[#This Row],[Jours]]&lt;60,Tableau3453[[#This Row],[Montant
de la facture
CHF]],""),""),"")</f>
        <v/>
      </c>
      <c r="P476" s="263" t="str">
        <f>IF(Tableau3453[[#This Row],[Date 
du paiement]]="",IF(Tableau3453[[#This Row],[Jours]]&gt;60,Tableau3453[[#This Row],[Montant
de la facture
CHF]],""),"")</f>
        <v/>
      </c>
      <c r="Q476" s="266"/>
      <c r="R476" s="267" t="str">
        <f>Tableau3453[[#This Row],[Solde 
ouverte
fm]]</f>
        <v/>
      </c>
      <c r="S47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7" spans="1:19" hidden="1" outlineLevel="1" x14ac:dyDescent="0.25">
      <c r="A477" s="268">
        <v>240645</v>
      </c>
      <c r="B477" s="239" t="s">
        <v>860</v>
      </c>
      <c r="C477" s="352" t="str">
        <f>IF(Tableau3453[[#This Row],[Date 
du paiement]]="",IF(Tableau3453[[#This Row],[Jours]]&gt;Tableau3453[[#This Row],[Conditions
pmt+]]+5,"oui",""),"")</f>
        <v/>
      </c>
      <c r="D477" s="262" t="s">
        <v>919</v>
      </c>
      <c r="E477" s="240">
        <v>45474</v>
      </c>
      <c r="F477" s="263">
        <v>982.1</v>
      </c>
      <c r="G477" s="242" t="str">
        <f>IF(Tableau3453[[#This Row],[Date 
du paiement]]="",Tableau3453[[#This Row],[Montant
de la facture
CHF]],"")</f>
        <v/>
      </c>
      <c r="H477" s="243" t="s">
        <v>1409</v>
      </c>
      <c r="I477" s="245">
        <v>45475</v>
      </c>
      <c r="J477" s="246">
        <v>45534</v>
      </c>
      <c r="K477" s="247" t="s">
        <v>58</v>
      </c>
      <c r="L477" s="264">
        <v>4</v>
      </c>
      <c r="M477" s="265">
        <f>IF(Tableau3453[[#This Row],[Date 
du paiement]]="",$D$4-Tableau3453[[#This Row],[Date
de la facture]],Tableau3453[[#This Row],[Date 
du paiement]]-Tableau3453[[#This Row],[Date
de la facture]])</f>
        <v>60</v>
      </c>
      <c r="N477" s="263" t="str">
        <f>IF(Tableau3453[[#This Row],[Date 
du paiement]]="",IF(Tableau3453[[#This Row],[Jours]]&lt;30,Tableau3453[[#This Row],[Montant
de la facture
CHF]],""),"")</f>
        <v/>
      </c>
      <c r="O477" s="263" t="str">
        <f>IF(Tableau3453[[#This Row],[Date 
du paiement]]="",IF(Tableau3453[[#This Row],[Jours]]&gt;30,IF(Tableau3453[[#This Row],[Jours]]&lt;60,Tableau3453[[#This Row],[Montant
de la facture
CHF]],""),""),"")</f>
        <v/>
      </c>
      <c r="P477" s="263" t="str">
        <f>IF(Tableau3453[[#This Row],[Date 
du paiement]]="",IF(Tableau3453[[#This Row],[Jours]]&gt;60,Tableau3453[[#This Row],[Montant
de la facture
CHF]],""),"")</f>
        <v/>
      </c>
      <c r="Q477" s="336" t="s">
        <v>1410</v>
      </c>
      <c r="R477" s="267" t="str">
        <f>Tableau3453[[#This Row],[Solde 
ouverte
fm]]</f>
        <v/>
      </c>
      <c r="S47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8" spans="1:19" hidden="1" outlineLevel="1" x14ac:dyDescent="0.25">
      <c r="A478" s="268">
        <v>240682</v>
      </c>
      <c r="B478" s="239" t="s">
        <v>860</v>
      </c>
      <c r="C478" s="352" t="str">
        <f>IF(Tableau3453[[#This Row],[Date 
du paiement]]="",IF(Tableau3453[[#This Row],[Jours]]&gt;Tableau3453[[#This Row],[Conditions
pmt+]]+5,"oui",""),"")</f>
        <v/>
      </c>
      <c r="D478" s="251" t="s">
        <v>1016</v>
      </c>
      <c r="E478" s="240">
        <v>45481</v>
      </c>
      <c r="F478" s="263">
        <v>3041.15</v>
      </c>
      <c r="G478" s="242" t="str">
        <f>IF(Tableau3453[[#This Row],[Date 
du paiement]]="",Tableau3453[[#This Row],[Montant
de la facture
CHF]],"")</f>
        <v/>
      </c>
      <c r="H478" s="243"/>
      <c r="I478" s="245">
        <v>45483</v>
      </c>
      <c r="J478" s="246">
        <v>45511</v>
      </c>
      <c r="K478" s="247" t="s">
        <v>58</v>
      </c>
      <c r="L478" s="264"/>
      <c r="M478" s="265">
        <f>IF(Tableau3453[[#This Row],[Date 
du paiement]]="",$D$4-Tableau3453[[#This Row],[Date
de la facture]],Tableau3453[[#This Row],[Date 
du paiement]]-Tableau3453[[#This Row],[Date
de la facture]])</f>
        <v>30</v>
      </c>
      <c r="N478" s="263" t="str">
        <f>IF(Tableau3453[[#This Row],[Date 
du paiement]]="",IF(Tableau3453[[#This Row],[Jours]]&lt;30,Tableau3453[[#This Row],[Montant
de la facture
CHF]],""),"")</f>
        <v/>
      </c>
      <c r="O478" s="263" t="str">
        <f>IF(Tableau3453[[#This Row],[Date 
du paiement]]="",IF(Tableau3453[[#This Row],[Jours]]&gt;30,IF(Tableau3453[[#This Row],[Jours]]&lt;60,Tableau3453[[#This Row],[Montant
de la facture
CHF]],""),""),"")</f>
        <v/>
      </c>
      <c r="P478" s="263" t="str">
        <f>IF(Tableau3453[[#This Row],[Date 
du paiement]]="",IF(Tableau3453[[#This Row],[Jours]]&gt;60,Tableau3453[[#This Row],[Montant
de la facture
CHF]],""),"")</f>
        <v/>
      </c>
      <c r="Q478" s="266"/>
      <c r="R478" s="267" t="str">
        <f>Tableau3453[[#This Row],[Solde 
ouverte
fm]]</f>
        <v/>
      </c>
      <c r="S47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79" spans="1:19" hidden="1" outlineLevel="1" x14ac:dyDescent="0.25">
      <c r="A479" s="268">
        <v>240660</v>
      </c>
      <c r="B479" s="239" t="s">
        <v>860</v>
      </c>
      <c r="C479" s="352" t="str">
        <f>IF(Tableau3453[[#This Row],[Date 
du paiement]]="",IF(Tableau3453[[#This Row],[Jours]]&gt;Tableau3453[[#This Row],[Conditions
pmt+]]+5,"oui",""),"")</f>
        <v/>
      </c>
      <c r="D479" s="262" t="s">
        <v>1165</v>
      </c>
      <c r="E479" s="240">
        <v>45481</v>
      </c>
      <c r="F479" s="263">
        <v>91.9</v>
      </c>
      <c r="G479" s="242" t="str">
        <f>IF(Tableau3453[[#This Row],[Date 
du paiement]]="",Tableau3453[[#This Row],[Montant
de la facture
CHF]],"")</f>
        <v/>
      </c>
      <c r="H479" s="243"/>
      <c r="I479" s="245">
        <v>45483</v>
      </c>
      <c r="J479" s="246">
        <v>45484</v>
      </c>
      <c r="K479" s="247" t="s">
        <v>58</v>
      </c>
      <c r="L479" s="264"/>
      <c r="M479" s="265">
        <f>IF(Tableau3453[[#This Row],[Date 
du paiement]]="",$D$4-Tableau3453[[#This Row],[Date
de la facture]],Tableau3453[[#This Row],[Date 
du paiement]]-Tableau3453[[#This Row],[Date
de la facture]])</f>
        <v>3</v>
      </c>
      <c r="N479" s="263" t="str">
        <f>IF(Tableau3453[[#This Row],[Date 
du paiement]]="",IF(Tableau3453[[#This Row],[Jours]]&lt;30,Tableau3453[[#This Row],[Montant
de la facture
CHF]],""),"")</f>
        <v/>
      </c>
      <c r="O479" s="263" t="str">
        <f>IF(Tableau3453[[#This Row],[Date 
du paiement]]="",IF(Tableau3453[[#This Row],[Jours]]&gt;30,IF(Tableau3453[[#This Row],[Jours]]&lt;60,Tableau3453[[#This Row],[Montant
de la facture
CHF]],""),""),"")</f>
        <v/>
      </c>
      <c r="P479" s="263" t="str">
        <f>IF(Tableau3453[[#This Row],[Date 
du paiement]]="",IF(Tableau3453[[#This Row],[Jours]]&gt;60,Tableau3453[[#This Row],[Montant
de la facture
CHF]],""),"")</f>
        <v/>
      </c>
      <c r="Q479" s="266"/>
      <c r="R479" s="267" t="str">
        <f>Tableau3453[[#This Row],[Solde 
ouverte
fm]]</f>
        <v/>
      </c>
      <c r="S47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0" spans="1:19" hidden="1" outlineLevel="1" x14ac:dyDescent="0.25">
      <c r="A480" s="238">
        <v>240662</v>
      </c>
      <c r="B480" s="239">
        <v>30</v>
      </c>
      <c r="C480" s="352" t="str">
        <f>IF(Tableau3453[[#This Row],[Date 
du paiement]]="",IF(Tableau3453[[#This Row],[Jours]]&gt;Tableau3453[[#This Row],[Conditions
pmt+]]+5,"oui",""),"")</f>
        <v/>
      </c>
      <c r="D480" s="251" t="s">
        <v>1117</v>
      </c>
      <c r="E480" s="240">
        <v>45475</v>
      </c>
      <c r="F480" s="263">
        <v>3298.65</v>
      </c>
      <c r="G480" s="242" t="str">
        <f>IF(Tableau3453[[#This Row],[Date 
du paiement]]="",Tableau3453[[#This Row],[Montant
de la facture
CHF]],"")</f>
        <v/>
      </c>
      <c r="H480" s="243" t="s">
        <v>1364</v>
      </c>
      <c r="I480" s="245">
        <v>45477</v>
      </c>
      <c r="J480" s="246">
        <v>45538</v>
      </c>
      <c r="K480" s="247" t="s">
        <v>58</v>
      </c>
      <c r="L480" s="271">
        <v>4</v>
      </c>
      <c r="M480" s="248">
        <f>IF(Tableau3453[[#This Row],[Date 
du paiement]]="",$D$4-Tableau3453[[#This Row],[Date
de la facture]],Tableau3453[[#This Row],[Date 
du paiement]]-Tableau3453[[#This Row],[Date
de la facture]])</f>
        <v>63</v>
      </c>
      <c r="N480" s="241" t="str">
        <f>IF(Tableau3453[[#This Row],[Date 
du paiement]]="",IF(Tableau3453[[#This Row],[Jours]]&lt;30,Tableau3453[[#This Row],[Montant
de la facture
CHF]],""),"")</f>
        <v/>
      </c>
      <c r="O480" s="257" t="str">
        <f>IF(Tableau3453[[#This Row],[Date 
du paiement]]="",IF(Tableau3453[[#This Row],[Jours]]&gt;30,IF(Tableau3453[[#This Row],[Jours]]&lt;60,Tableau3453[[#This Row],[Montant
de la facture
CHF]],""),""),"")</f>
        <v/>
      </c>
      <c r="P480" s="257" t="str">
        <f>IF(Tableau3453[[#This Row],[Date 
du paiement]]="",IF(Tableau3453[[#This Row],[Jours]]&gt;60,Tableau3453[[#This Row],[Montant
de la facture
CHF]],""),"")</f>
        <v/>
      </c>
      <c r="Q480" s="249" t="s">
        <v>1427</v>
      </c>
      <c r="R480" s="267" t="str">
        <f>Tableau3453[[#This Row],[Solde 
ouverte
fm]]</f>
        <v/>
      </c>
      <c r="S48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1" spans="1:19" hidden="1" outlineLevel="1" x14ac:dyDescent="0.25">
      <c r="A481" s="268">
        <v>240653</v>
      </c>
      <c r="B481" s="239">
        <v>30</v>
      </c>
      <c r="C481" s="352" t="str">
        <f>IF(Tableau3453[[#This Row],[Date 
du paiement]]="",IF(Tableau3453[[#This Row],[Jours]]&gt;Tableau3453[[#This Row],[Conditions
pmt+]]+5,"oui",""),"")</f>
        <v/>
      </c>
      <c r="D481" s="262" t="s">
        <v>919</v>
      </c>
      <c r="E481" s="240">
        <v>45475</v>
      </c>
      <c r="F481" s="263">
        <v>646.45000000000005</v>
      </c>
      <c r="G481" s="242" t="str">
        <f>IF(Tableau3453[[#This Row],[Date 
du paiement]]="",Tableau3453[[#This Row],[Montant
de la facture
CHF]],"")</f>
        <v/>
      </c>
      <c r="H481" s="243" t="s">
        <v>1409</v>
      </c>
      <c r="I481" s="245">
        <v>45477</v>
      </c>
      <c r="J481" s="246">
        <v>45534</v>
      </c>
      <c r="K481" s="247" t="s">
        <v>58</v>
      </c>
      <c r="L481" s="264">
        <v>4</v>
      </c>
      <c r="M481" s="265">
        <f>IF(Tableau3453[[#This Row],[Date 
du paiement]]="",$D$4-Tableau3453[[#This Row],[Date
de la facture]],Tableau3453[[#This Row],[Date 
du paiement]]-Tableau3453[[#This Row],[Date
de la facture]])</f>
        <v>59</v>
      </c>
      <c r="N481" s="263" t="str">
        <f>IF(Tableau3453[[#This Row],[Date 
du paiement]]="",IF(Tableau3453[[#This Row],[Jours]]&lt;30,Tableau3453[[#This Row],[Montant
de la facture
CHF]],""),"")</f>
        <v/>
      </c>
      <c r="O481" s="263" t="str">
        <f>IF(Tableau3453[[#This Row],[Date 
du paiement]]="",IF(Tableau3453[[#This Row],[Jours]]&gt;30,IF(Tableau3453[[#This Row],[Jours]]&lt;60,Tableau3453[[#This Row],[Montant
de la facture
CHF]],""),""),"")</f>
        <v/>
      </c>
      <c r="P481" s="263" t="str">
        <f>IF(Tableau3453[[#This Row],[Date 
du paiement]]="",IF(Tableau3453[[#This Row],[Jours]]&gt;60,Tableau3453[[#This Row],[Montant
de la facture
CHF]],""),"")</f>
        <v/>
      </c>
      <c r="Q481" s="336" t="s">
        <v>1410</v>
      </c>
      <c r="R481" s="267" t="str">
        <f>Tableau3453[[#This Row],[Solde 
ouverte
fm]]</f>
        <v/>
      </c>
      <c r="S48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2" spans="1:19" hidden="1" outlineLevel="1" x14ac:dyDescent="0.25">
      <c r="A482" s="268">
        <v>240658</v>
      </c>
      <c r="B482" s="239" t="s">
        <v>860</v>
      </c>
      <c r="C482" s="352" t="str">
        <f>IF(Tableau3453[[#This Row],[Date 
du paiement]]="",IF(Tableau3453[[#This Row],[Jours]]&gt;Tableau3453[[#This Row],[Conditions
pmt+]]+5,"oui",""),"")</f>
        <v/>
      </c>
      <c r="D482" s="262" t="s">
        <v>1164</v>
      </c>
      <c r="E482" s="240">
        <v>45481</v>
      </c>
      <c r="F482" s="263">
        <v>1302.95</v>
      </c>
      <c r="G482" s="242" t="str">
        <f>IF(Tableau3453[[#This Row],[Date 
du paiement]]="",Tableau3453[[#This Row],[Montant
de la facture
CHF]],"")</f>
        <v/>
      </c>
      <c r="H482" s="243"/>
      <c r="I482" s="245">
        <v>45483</v>
      </c>
      <c r="J482" s="246">
        <v>45502</v>
      </c>
      <c r="K482" s="247" t="s">
        <v>58</v>
      </c>
      <c r="L482" s="264"/>
      <c r="M482" s="265">
        <f>IF(Tableau3453[[#This Row],[Date 
du paiement]]="",$D$4-Tableau3453[[#This Row],[Date
de la facture]],Tableau3453[[#This Row],[Date 
du paiement]]-Tableau3453[[#This Row],[Date
de la facture]])</f>
        <v>21</v>
      </c>
      <c r="N482" s="263" t="str">
        <f>IF(Tableau3453[[#This Row],[Date 
du paiement]]="",IF(Tableau3453[[#This Row],[Jours]]&lt;30,Tableau3453[[#This Row],[Montant
de la facture
CHF]],""),"")</f>
        <v/>
      </c>
      <c r="O482" s="263" t="str">
        <f>IF(Tableau3453[[#This Row],[Date 
du paiement]]="",IF(Tableau3453[[#This Row],[Jours]]&gt;30,IF(Tableau3453[[#This Row],[Jours]]&lt;60,Tableau3453[[#This Row],[Montant
de la facture
CHF]],""),""),"")</f>
        <v/>
      </c>
      <c r="P482" s="263" t="str">
        <f>IF(Tableau3453[[#This Row],[Date 
du paiement]]="",IF(Tableau3453[[#This Row],[Jours]]&gt;60,Tableau3453[[#This Row],[Montant
de la facture
CHF]],""),"")</f>
        <v/>
      </c>
      <c r="Q482" s="266"/>
      <c r="R482" s="267" t="str">
        <f>Tableau3453[[#This Row],[Solde 
ouverte
fm]]</f>
        <v/>
      </c>
      <c r="S4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3" spans="1:19" hidden="1" outlineLevel="1" x14ac:dyDescent="0.25">
      <c r="A483" s="268">
        <v>240558</v>
      </c>
      <c r="B483" s="239" t="s">
        <v>860</v>
      </c>
      <c r="C483" s="352" t="str">
        <f>IF(Tableau3453[[#This Row],[Date 
du paiement]]="",IF(Tableau3453[[#This Row],[Jours]]&gt;Tableau3453[[#This Row],[Conditions
pmt+]]+5,"oui",""),"")</f>
        <v/>
      </c>
      <c r="D483" s="262" t="s">
        <v>1170</v>
      </c>
      <c r="E483" s="240">
        <v>45482</v>
      </c>
      <c r="F483" s="263">
        <v>906.5</v>
      </c>
      <c r="G483" s="242" t="str">
        <f>IF(Tableau3453[[#This Row],[Date 
du paiement]]="",Tableau3453[[#This Row],[Montant
de la facture
CHF]],"")</f>
        <v/>
      </c>
      <c r="H483" s="243"/>
      <c r="I483" s="245">
        <v>45483</v>
      </c>
      <c r="J483" s="246">
        <v>45512</v>
      </c>
      <c r="K483" s="247" t="s">
        <v>58</v>
      </c>
      <c r="L483" s="264"/>
      <c r="M483" s="265">
        <f>IF(Tableau3453[[#This Row],[Date 
du paiement]]="",$D$4-Tableau3453[[#This Row],[Date
de la facture]],Tableau3453[[#This Row],[Date 
du paiement]]-Tableau3453[[#This Row],[Date
de la facture]])</f>
        <v>30</v>
      </c>
      <c r="N483" s="263" t="str">
        <f>IF(Tableau3453[[#This Row],[Date 
du paiement]]="",IF(Tableau3453[[#This Row],[Jours]]&lt;30,Tableau3453[[#This Row],[Montant
de la facture
CHF]],""),"")</f>
        <v/>
      </c>
      <c r="O483" s="263" t="str">
        <f>IF(Tableau3453[[#This Row],[Date 
du paiement]]="",IF(Tableau3453[[#This Row],[Jours]]&gt;30,IF(Tableau3453[[#This Row],[Jours]]&lt;60,Tableau3453[[#This Row],[Montant
de la facture
CHF]],""),""),"")</f>
        <v/>
      </c>
      <c r="P483" s="263" t="str">
        <f>IF(Tableau3453[[#This Row],[Date 
du paiement]]="",IF(Tableau3453[[#This Row],[Jours]]&gt;60,Tableau3453[[#This Row],[Montant
de la facture
CHF]],""),"")</f>
        <v/>
      </c>
      <c r="Q483" s="266"/>
      <c r="R483" s="267" t="str">
        <f>Tableau3453[[#This Row],[Solde 
ouverte
fm]]</f>
        <v/>
      </c>
      <c r="S4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4" spans="1:19" hidden="1" outlineLevel="1" x14ac:dyDescent="0.25">
      <c r="A484" s="268">
        <v>240547</v>
      </c>
      <c r="B484" s="239" t="s">
        <v>860</v>
      </c>
      <c r="C484" s="352" t="str">
        <f>IF(Tableau3453[[#This Row],[Date 
du paiement]]="",IF(Tableau3453[[#This Row],[Jours]]&gt;Tableau3453[[#This Row],[Conditions
pmt+]]+5,"oui",""),"")</f>
        <v/>
      </c>
      <c r="D484" s="262" t="s">
        <v>1170</v>
      </c>
      <c r="E484" s="240">
        <v>45482</v>
      </c>
      <c r="F484" s="263">
        <v>2900.95</v>
      </c>
      <c r="G484" s="242" t="str">
        <f>IF(Tableau3453[[#This Row],[Date 
du paiement]]="",Tableau3453[[#This Row],[Montant
de la facture
CHF]],"")</f>
        <v/>
      </c>
      <c r="H484" s="243"/>
      <c r="I484" s="245">
        <v>45483</v>
      </c>
      <c r="J484" s="246">
        <v>45512</v>
      </c>
      <c r="K484" s="247" t="s">
        <v>58</v>
      </c>
      <c r="L484" s="264"/>
      <c r="M484" s="265">
        <f>IF(Tableau3453[[#This Row],[Date 
du paiement]]="",$D$4-Tableau3453[[#This Row],[Date
de la facture]],Tableau3453[[#This Row],[Date 
du paiement]]-Tableau3453[[#This Row],[Date
de la facture]])</f>
        <v>30</v>
      </c>
      <c r="N484" s="263" t="str">
        <f>IF(Tableau3453[[#This Row],[Date 
du paiement]]="",IF(Tableau3453[[#This Row],[Jours]]&lt;30,Tableau3453[[#This Row],[Montant
de la facture
CHF]],""),"")</f>
        <v/>
      </c>
      <c r="O484" s="263" t="str">
        <f>IF(Tableau3453[[#This Row],[Date 
du paiement]]="",IF(Tableau3453[[#This Row],[Jours]]&gt;30,IF(Tableau3453[[#This Row],[Jours]]&lt;60,Tableau3453[[#This Row],[Montant
de la facture
CHF]],""),""),"")</f>
        <v/>
      </c>
      <c r="P484" s="263" t="str">
        <f>IF(Tableau3453[[#This Row],[Date 
du paiement]]="",IF(Tableau3453[[#This Row],[Jours]]&gt;60,Tableau3453[[#This Row],[Montant
de la facture
CHF]],""),"")</f>
        <v/>
      </c>
      <c r="Q484" s="266"/>
      <c r="R484" s="267" t="str">
        <f>Tableau3453[[#This Row],[Solde 
ouverte
fm]]</f>
        <v/>
      </c>
      <c r="S48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5" spans="1:19" hidden="1" outlineLevel="1" x14ac:dyDescent="0.25">
      <c r="A485" s="268">
        <v>240678</v>
      </c>
      <c r="B485" s="239">
        <v>30</v>
      </c>
      <c r="C485" s="352" t="str">
        <f>IF(Tableau3453[[#This Row],[Date 
du paiement]]="",IF(Tableau3453[[#This Row],[Jours]]&gt;Tableau3453[[#This Row],[Conditions
pmt+]]+5,"oui",""),"")</f>
        <v/>
      </c>
      <c r="D485" s="262" t="s">
        <v>941</v>
      </c>
      <c r="E485" s="240">
        <v>45483</v>
      </c>
      <c r="F485" s="263">
        <v>3115.15</v>
      </c>
      <c r="G485" s="242" t="str">
        <f>IF(Tableau3453[[#This Row],[Date 
du paiement]]="",Tableau3453[[#This Row],[Montant
de la facture
CHF]],"")</f>
        <v/>
      </c>
      <c r="H485" s="243"/>
      <c r="I485" s="245">
        <v>45484</v>
      </c>
      <c r="J485" s="246">
        <v>45488</v>
      </c>
      <c r="K485" s="247" t="s">
        <v>58</v>
      </c>
      <c r="L485" s="264"/>
      <c r="M485" s="265">
        <f>IF(Tableau3453[[#This Row],[Date 
du paiement]]="",$D$4-Tableau3453[[#This Row],[Date
de la facture]],Tableau3453[[#This Row],[Date 
du paiement]]-Tableau3453[[#This Row],[Date
de la facture]])</f>
        <v>5</v>
      </c>
      <c r="N485" s="263" t="str">
        <f>IF(Tableau3453[[#This Row],[Date 
du paiement]]="",IF(Tableau3453[[#This Row],[Jours]]&lt;30,Tableau3453[[#This Row],[Montant
de la facture
CHF]],""),"")</f>
        <v/>
      </c>
      <c r="O485" s="263" t="str">
        <f>IF(Tableau3453[[#This Row],[Date 
du paiement]]="",IF(Tableau3453[[#This Row],[Jours]]&gt;30,IF(Tableau3453[[#This Row],[Jours]]&lt;60,Tableau3453[[#This Row],[Montant
de la facture
CHF]],""),""),"")</f>
        <v/>
      </c>
      <c r="P485" s="263" t="str">
        <f>IF(Tableau3453[[#This Row],[Date 
du paiement]]="",IF(Tableau3453[[#This Row],[Jours]]&gt;60,Tableau3453[[#This Row],[Montant
de la facture
CHF]],""),"")</f>
        <v/>
      </c>
      <c r="Q485" s="266"/>
      <c r="R485" s="267" t="str">
        <f>Tableau3453[[#This Row],[Solde 
ouverte
fm]]</f>
        <v/>
      </c>
      <c r="S4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6" spans="1:19" hidden="1" outlineLevel="1" x14ac:dyDescent="0.25">
      <c r="A486" s="268">
        <v>240609</v>
      </c>
      <c r="B486" s="239">
        <v>60</v>
      </c>
      <c r="C486" s="352" t="str">
        <f>IF(Tableau3453[[#This Row],[Date 
du paiement]]="",IF(Tableau3453[[#This Row],[Jours]]&gt;Tableau3453[[#This Row],[Conditions
pmt+]]+5,"oui",""),"")</f>
        <v/>
      </c>
      <c r="D486" s="262" t="s">
        <v>1286</v>
      </c>
      <c r="E486" s="240">
        <v>45509</v>
      </c>
      <c r="F486" s="263">
        <v>627.70000000000005</v>
      </c>
      <c r="G486" s="242" t="str">
        <f>IF(Tableau3453[[#This Row],[Date 
du paiement]]="",Tableau3453[[#This Row],[Montant
de la facture
CHF]],"")</f>
        <v/>
      </c>
      <c r="H486" s="243" t="s">
        <v>1680</v>
      </c>
      <c r="I486" s="245">
        <v>45510</v>
      </c>
      <c r="J486" s="246">
        <v>45601</v>
      </c>
      <c r="K486" s="247" t="s">
        <v>58</v>
      </c>
      <c r="L486" s="264">
        <v>3</v>
      </c>
      <c r="M486" s="265">
        <f>IF(Tableau3453[[#This Row],[Date 
du paiement]]="",$D$4-Tableau3453[[#This Row],[Date
de la facture]],Tableau3453[[#This Row],[Date 
du paiement]]-Tableau3453[[#This Row],[Date
de la facture]])</f>
        <v>92</v>
      </c>
      <c r="N486" s="263" t="str">
        <f>IF(Tableau3453[[#This Row],[Date 
du paiement]]="",IF(Tableau3453[[#This Row],[Jours]]&lt;30,Tableau3453[[#This Row],[Montant
de la facture
CHF]],""),"")</f>
        <v/>
      </c>
      <c r="O486" s="263" t="str">
        <f>IF(Tableau3453[[#This Row],[Date 
du paiement]]="",IF(Tableau3453[[#This Row],[Jours]]&gt;30,IF(Tableau3453[[#This Row],[Jours]]&lt;60,Tableau3453[[#This Row],[Montant
de la facture
CHF]],""),""),"")</f>
        <v/>
      </c>
      <c r="P486" s="263" t="str">
        <f>IF(Tableau3453[[#This Row],[Date 
du paiement]]="",IF(Tableau3453[[#This Row],[Jours]]&gt;60,Tableau3453[[#This Row],[Montant
de la facture
CHF]],""),"")</f>
        <v/>
      </c>
      <c r="Q486" s="266" t="s">
        <v>1685</v>
      </c>
      <c r="R486" s="267" t="str">
        <f>Tableau3453[[#This Row],[Solde 
ouverte
fm]]</f>
        <v/>
      </c>
      <c r="S4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7" spans="1:19" hidden="1" outlineLevel="1" x14ac:dyDescent="0.25">
      <c r="A487" s="380">
        <v>240639</v>
      </c>
      <c r="B487" s="408" t="s">
        <v>860</v>
      </c>
      <c r="C487" s="381" t="str">
        <f>IF(Tableau3453[[#This Row],[Date 
du paiement]]="",IF(Tableau3453[[#This Row],[Jours]]&gt;Tableau3453[[#This Row],[Conditions
pmt+]]+5,"oui",""),"")</f>
        <v/>
      </c>
      <c r="D487" s="409" t="s">
        <v>1010</v>
      </c>
      <c r="E487" s="383">
        <v>45482</v>
      </c>
      <c r="F487" s="384">
        <v>3156.95</v>
      </c>
      <c r="G487" s="410" t="str">
        <f>IF(Tableau3453[[#This Row],[Date 
du paiement]]="",Tableau3453[[#This Row],[Montant
de la facture
CHF]],"")</f>
        <v/>
      </c>
      <c r="H487" s="411"/>
      <c r="I487" s="386">
        <v>45483</v>
      </c>
      <c r="J487" s="387">
        <v>45523</v>
      </c>
      <c r="K487" s="388" t="s">
        <v>58</v>
      </c>
      <c r="L487" s="389"/>
      <c r="M487" s="390">
        <f>IF(Tableau3453[[#This Row],[Date 
du paiement]]="",$D$4-Tableau3453[[#This Row],[Date
de la facture]],Tableau3453[[#This Row],[Date 
du paiement]]-Tableau3453[[#This Row],[Date
de la facture]])</f>
        <v>41</v>
      </c>
      <c r="N487" s="384" t="str">
        <f>IF(Tableau3453[[#This Row],[Date 
du paiement]]="",IF(Tableau3453[[#This Row],[Jours]]&lt;30,Tableau3453[[#This Row],[Montant
de la facture
CHF]],""),"")</f>
        <v/>
      </c>
      <c r="O487" s="384" t="str">
        <f>IF(Tableau3453[[#This Row],[Date 
du paiement]]="",IF(Tableau3453[[#This Row],[Jours]]&gt;30,IF(Tableau3453[[#This Row],[Jours]]&lt;60,Tableau3453[[#This Row],[Montant
de la facture
CHF]],""),""),"")</f>
        <v/>
      </c>
      <c r="P487" s="384" t="str">
        <f>IF(Tableau3453[[#This Row],[Date 
du paiement]]="",IF(Tableau3453[[#This Row],[Jours]]&gt;60,Tableau3453[[#This Row],[Montant
de la facture
CHF]],""),"")</f>
        <v/>
      </c>
      <c r="Q487" s="416"/>
      <c r="R487" s="391" t="str">
        <f>Tableau3453[[#This Row],[Solde 
ouverte
fm]]</f>
        <v/>
      </c>
      <c r="S487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8" spans="1:19" hidden="1" outlineLevel="1" x14ac:dyDescent="0.25">
      <c r="A488" s="268">
        <v>240690</v>
      </c>
      <c r="B488" s="239">
        <v>30</v>
      </c>
      <c r="C488" s="352" t="str">
        <f>IF(Tableau3453[[#This Row],[Date 
du paiement]]="",IF(Tableau3453[[#This Row],[Jours]]&gt;Tableau3453[[#This Row],[Conditions
pmt+]]+5,"oui",""),"")</f>
        <v/>
      </c>
      <c r="D488" s="262" t="s">
        <v>863</v>
      </c>
      <c r="E488" s="240">
        <v>45483</v>
      </c>
      <c r="F488" s="263">
        <v>2169.1999999999998</v>
      </c>
      <c r="G488" s="242" t="str">
        <f>IF(Tableau3453[[#This Row],[Date 
du paiement]]="",Tableau3453[[#This Row],[Montant
de la facture
CHF]],"")</f>
        <v/>
      </c>
      <c r="H488" s="243"/>
      <c r="I488" s="245">
        <v>45485</v>
      </c>
      <c r="J488" s="246">
        <v>45527</v>
      </c>
      <c r="K488" s="247" t="s">
        <v>58</v>
      </c>
      <c r="L488" s="264">
        <v>1</v>
      </c>
      <c r="M488" s="265">
        <f>IF(Tableau3453[[#This Row],[Date 
du paiement]]="",$D$4-Tableau3453[[#This Row],[Date
de la facture]],Tableau3453[[#This Row],[Date 
du paiement]]-Tableau3453[[#This Row],[Date
de la facture]])</f>
        <v>44</v>
      </c>
      <c r="N488" s="263" t="str">
        <f>IF(Tableau3453[[#This Row],[Date 
du paiement]]="",IF(Tableau3453[[#This Row],[Jours]]&lt;30,Tableau3453[[#This Row],[Montant
de la facture
CHF]],""),"")</f>
        <v/>
      </c>
      <c r="O488" s="263" t="str">
        <f>IF(Tableau3453[[#This Row],[Date 
du paiement]]="",IF(Tableau3453[[#This Row],[Jours]]&gt;30,IF(Tableau3453[[#This Row],[Jours]]&lt;60,Tableau3453[[#This Row],[Montant
de la facture
CHF]],""),""),"")</f>
        <v/>
      </c>
      <c r="P488" s="263" t="str">
        <f>IF(Tableau3453[[#This Row],[Date 
du paiement]]="",IF(Tableau3453[[#This Row],[Jours]]&gt;60,Tableau3453[[#This Row],[Montant
de la facture
CHF]],""),"")</f>
        <v/>
      </c>
      <c r="Q488" s="266"/>
      <c r="R488" s="267" t="str">
        <f>Tableau3453[[#This Row],[Solde 
ouverte
fm]]</f>
        <v/>
      </c>
      <c r="S48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89" spans="1:19" hidden="1" outlineLevel="1" x14ac:dyDescent="0.25">
      <c r="A489" s="268">
        <v>240681</v>
      </c>
      <c r="B489" s="239">
        <v>30</v>
      </c>
      <c r="C489" s="352" t="str">
        <f>IF(Tableau3453[[#This Row],[Date 
du paiement]]="",IF(Tableau3453[[#This Row],[Jours]]&gt;Tableau3453[[#This Row],[Conditions
pmt+]]+5,"oui",""),"")</f>
        <v/>
      </c>
      <c r="D489" s="262" t="s">
        <v>880</v>
      </c>
      <c r="E489" s="240">
        <v>45483</v>
      </c>
      <c r="F489" s="263">
        <v>3239.75</v>
      </c>
      <c r="G489" s="242" t="str">
        <f>IF(Tableau3453[[#This Row],[Date 
du paiement]]="",Tableau3453[[#This Row],[Montant
de la facture
CHF]],"")</f>
        <v/>
      </c>
      <c r="H489" s="243"/>
      <c r="I489" s="245">
        <v>45485</v>
      </c>
      <c r="J489" s="246">
        <v>45520</v>
      </c>
      <c r="K489" s="247" t="s">
        <v>58</v>
      </c>
      <c r="L489" s="264"/>
      <c r="M489" s="265">
        <f>IF(Tableau3453[[#This Row],[Date 
du paiement]]="",$D$4-Tableau3453[[#This Row],[Date
de la facture]],Tableau3453[[#This Row],[Date 
du paiement]]-Tableau3453[[#This Row],[Date
de la facture]])</f>
        <v>37</v>
      </c>
      <c r="N489" s="263" t="str">
        <f>IF(Tableau3453[[#This Row],[Date 
du paiement]]="",IF(Tableau3453[[#This Row],[Jours]]&lt;30,Tableau3453[[#This Row],[Montant
de la facture
CHF]],""),"")</f>
        <v/>
      </c>
      <c r="O489" s="263" t="str">
        <f>IF(Tableau3453[[#This Row],[Date 
du paiement]]="",IF(Tableau3453[[#This Row],[Jours]]&gt;30,IF(Tableau3453[[#This Row],[Jours]]&lt;60,Tableau3453[[#This Row],[Montant
de la facture
CHF]],""),""),"")</f>
        <v/>
      </c>
      <c r="P489" s="263" t="str">
        <f>IF(Tableau3453[[#This Row],[Date 
du paiement]]="",IF(Tableau3453[[#This Row],[Jours]]&gt;60,Tableau3453[[#This Row],[Montant
de la facture
CHF]],""),"")</f>
        <v/>
      </c>
      <c r="Q489" s="266"/>
      <c r="R489" s="267" t="str">
        <f>Tableau3453[[#This Row],[Solde 
ouverte
fm]]</f>
        <v/>
      </c>
      <c r="S48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0" spans="1:19" hidden="1" outlineLevel="1" x14ac:dyDescent="0.25">
      <c r="A490" s="268">
        <v>240664</v>
      </c>
      <c r="B490" s="239" t="s">
        <v>860</v>
      </c>
      <c r="C490" s="352" t="str">
        <f>IF(Tableau3453[[#This Row],[Date 
du paiement]]="",IF(Tableau3453[[#This Row],[Jours]]&gt;Tableau3453[[#This Row],[Conditions
pmt+]]+5,"oui",""),"")</f>
        <v/>
      </c>
      <c r="D490" s="262" t="s">
        <v>1210</v>
      </c>
      <c r="E490" s="240">
        <v>45477</v>
      </c>
      <c r="F490" s="263">
        <v>2587.4499999999998</v>
      </c>
      <c r="G490" s="242" t="str">
        <f>IF(Tableau3453[[#This Row],[Date 
du paiement]]="",Tableau3453[[#This Row],[Montant
de la facture
CHF]],"")</f>
        <v/>
      </c>
      <c r="H490" s="243"/>
      <c r="I490" s="245">
        <v>45478</v>
      </c>
      <c r="J490" s="246">
        <v>45548</v>
      </c>
      <c r="K490" s="247" t="s">
        <v>58</v>
      </c>
      <c r="L490" s="264">
        <v>5</v>
      </c>
      <c r="M490" s="265">
        <f>IF(Tableau3453[[#This Row],[Date 
du paiement]]="",$D$4-Tableau3453[[#This Row],[Date
de la facture]],Tableau3453[[#This Row],[Date 
du paiement]]-Tableau3453[[#This Row],[Date
de la facture]])</f>
        <v>71</v>
      </c>
      <c r="N490" s="263" t="str">
        <f>IF(Tableau3453[[#This Row],[Date 
du paiement]]="",IF(Tableau3453[[#This Row],[Jours]]&lt;30,Tableau3453[[#This Row],[Montant
de la facture
CHF]],""),"")</f>
        <v/>
      </c>
      <c r="O490" s="263" t="str">
        <f>IF(Tableau3453[[#This Row],[Date 
du paiement]]="",IF(Tableau3453[[#This Row],[Jours]]&gt;30,IF(Tableau3453[[#This Row],[Jours]]&lt;60,Tableau3453[[#This Row],[Montant
de la facture
CHF]],""),""),"")</f>
        <v/>
      </c>
      <c r="P490" s="263" t="str">
        <f>IF(Tableau3453[[#This Row],[Date 
du paiement]]="",IF(Tableau3453[[#This Row],[Jours]]&gt;60,Tableau3453[[#This Row],[Montant
de la facture
CHF]],""),"")</f>
        <v/>
      </c>
      <c r="Q490" s="266" t="s">
        <v>1458</v>
      </c>
      <c r="R490" s="267" t="str">
        <f>Tableau3453[[#This Row],[Solde 
ouverte
fm]]</f>
        <v/>
      </c>
      <c r="S4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1" spans="1:19" hidden="1" outlineLevel="1" x14ac:dyDescent="0.25">
      <c r="A491" s="268">
        <v>240698</v>
      </c>
      <c r="B491" s="239">
        <v>30</v>
      </c>
      <c r="C491" s="352" t="str">
        <f>IF(Tableau3453[[#This Row],[Date 
du paiement]]="",IF(Tableau3453[[#This Row],[Jours]]&gt;Tableau3453[[#This Row],[Conditions
pmt+]]+5,"oui",""),"")</f>
        <v/>
      </c>
      <c r="D491" s="262" t="s">
        <v>1182</v>
      </c>
      <c r="E491" s="240">
        <v>45483</v>
      </c>
      <c r="F491" s="263">
        <v>886.15</v>
      </c>
      <c r="G491" s="242" t="str">
        <f>IF(Tableau3453[[#This Row],[Date 
du paiement]]="",Tableau3453[[#This Row],[Montant
de la facture
CHF]],"")</f>
        <v/>
      </c>
      <c r="H491" s="243"/>
      <c r="I491" s="245">
        <v>45485</v>
      </c>
      <c r="J491" s="246">
        <v>45524</v>
      </c>
      <c r="K491" s="247" t="s">
        <v>58</v>
      </c>
      <c r="L491" s="264"/>
      <c r="M491" s="265">
        <f>IF(Tableau3453[[#This Row],[Date 
du paiement]]="",$D$4-Tableau3453[[#This Row],[Date
de la facture]],Tableau3453[[#This Row],[Date 
du paiement]]-Tableau3453[[#This Row],[Date
de la facture]])</f>
        <v>41</v>
      </c>
      <c r="N491" s="263" t="str">
        <f>IF(Tableau3453[[#This Row],[Date 
du paiement]]="",IF(Tableau3453[[#This Row],[Jours]]&lt;30,Tableau3453[[#This Row],[Montant
de la facture
CHF]],""),"")</f>
        <v/>
      </c>
      <c r="O491" s="263" t="str">
        <f>IF(Tableau3453[[#This Row],[Date 
du paiement]]="",IF(Tableau3453[[#This Row],[Jours]]&gt;30,IF(Tableau3453[[#This Row],[Jours]]&lt;60,Tableau3453[[#This Row],[Montant
de la facture
CHF]],""),""),"")</f>
        <v/>
      </c>
      <c r="P491" s="263" t="str">
        <f>IF(Tableau3453[[#This Row],[Date 
du paiement]]="",IF(Tableau3453[[#This Row],[Jours]]&gt;60,Tableau3453[[#This Row],[Montant
de la facture
CHF]],""),"")</f>
        <v/>
      </c>
      <c r="Q491" s="266"/>
      <c r="R491" s="267" t="str">
        <f>Tableau3453[[#This Row],[Solde 
ouverte
fm]]</f>
        <v/>
      </c>
      <c r="S4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2" spans="1:19" hidden="1" outlineLevel="1" x14ac:dyDescent="0.25">
      <c r="A492" s="268">
        <v>240676</v>
      </c>
      <c r="B492" s="239">
        <v>30</v>
      </c>
      <c r="C492" s="352" t="str">
        <f>IF(Tableau3453[[#This Row],[Date 
du paiement]]="",IF(Tableau3453[[#This Row],[Jours]]&gt;Tableau3453[[#This Row],[Conditions
pmt+]]+5,"oui",""),"")</f>
        <v/>
      </c>
      <c r="D492" s="262" t="s">
        <v>1183</v>
      </c>
      <c r="E492" s="240">
        <v>45483</v>
      </c>
      <c r="F492" s="263">
        <v>1648</v>
      </c>
      <c r="G492" s="242" t="str">
        <f>IF(Tableau3453[[#This Row],[Date 
du paiement]]="",Tableau3453[[#This Row],[Montant
de la facture
CHF]],"")</f>
        <v/>
      </c>
      <c r="H492" s="243"/>
      <c r="I492" s="245">
        <v>45484</v>
      </c>
      <c r="J492" s="246">
        <v>45530</v>
      </c>
      <c r="K492" s="247" t="s">
        <v>58</v>
      </c>
      <c r="L492" s="264">
        <v>1</v>
      </c>
      <c r="M492" s="265">
        <f>IF(Tableau3453[[#This Row],[Date 
du paiement]]="",$D$4-Tableau3453[[#This Row],[Date
de la facture]],Tableau3453[[#This Row],[Date 
du paiement]]-Tableau3453[[#This Row],[Date
de la facture]])</f>
        <v>47</v>
      </c>
      <c r="N492" s="263" t="str">
        <f>IF(Tableau3453[[#This Row],[Date 
du paiement]]="",IF(Tableau3453[[#This Row],[Jours]]&lt;30,Tableau3453[[#This Row],[Montant
de la facture
CHF]],""),"")</f>
        <v/>
      </c>
      <c r="O492" s="263" t="str">
        <f>IF(Tableau3453[[#This Row],[Date 
du paiement]]="",IF(Tableau3453[[#This Row],[Jours]]&gt;30,IF(Tableau3453[[#This Row],[Jours]]&lt;60,Tableau3453[[#This Row],[Montant
de la facture
CHF]],""),""),"")</f>
        <v/>
      </c>
      <c r="P492" s="263" t="str">
        <f>IF(Tableau3453[[#This Row],[Date 
du paiement]]="",IF(Tableau3453[[#This Row],[Jours]]&gt;60,Tableau3453[[#This Row],[Montant
de la facture
CHF]],""),"")</f>
        <v/>
      </c>
      <c r="Q492" s="266"/>
      <c r="R492" s="267" t="str">
        <f>Tableau3453[[#This Row],[Solde 
ouverte
fm]]</f>
        <v/>
      </c>
      <c r="S49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3" spans="1:19" hidden="1" outlineLevel="1" x14ac:dyDescent="0.25">
      <c r="A493" s="268">
        <v>240623</v>
      </c>
      <c r="B493" s="239" t="s">
        <v>857</v>
      </c>
      <c r="C493" s="352" t="str">
        <f>IF(Tableau3453[[#This Row],[Date 
du paiement]]="",IF(Tableau3453[[#This Row],[Jours]]&gt;Tableau3453[[#This Row],[Conditions
pmt+]]+5,"oui",""),"")</f>
        <v/>
      </c>
      <c r="D493" s="262" t="s">
        <v>916</v>
      </c>
      <c r="E493" s="240">
        <v>45498</v>
      </c>
      <c r="F493" s="263">
        <v>5379</v>
      </c>
      <c r="G493" s="242" t="str">
        <f>IF(Tableau3453[[#This Row],[Date 
du paiement]]="",Tableau3453[[#This Row],[Montant
de la facture
CHF]],"")</f>
        <v/>
      </c>
      <c r="H493" s="243"/>
      <c r="I493" s="245">
        <v>45509</v>
      </c>
      <c r="J493" s="246">
        <v>45572</v>
      </c>
      <c r="K493" s="247" t="s">
        <v>58</v>
      </c>
      <c r="L493" s="264">
        <v>1</v>
      </c>
      <c r="M493" s="265">
        <f>IF(Tableau3453[[#This Row],[Date 
du paiement]]="",$D$4-Tableau3453[[#This Row],[Date
de la facture]],Tableau3453[[#This Row],[Date 
du paiement]]-Tableau3453[[#This Row],[Date
de la facture]])</f>
        <v>74</v>
      </c>
      <c r="N493" s="263" t="str">
        <f>IF(Tableau3453[[#This Row],[Date 
du paiement]]="",IF(Tableau3453[[#This Row],[Jours]]&lt;30,Tableau3453[[#This Row],[Montant
de la facture
CHF]],""),"")</f>
        <v/>
      </c>
      <c r="O493" s="263" t="str">
        <f>IF(Tableau3453[[#This Row],[Date 
du paiement]]="",IF(Tableau3453[[#This Row],[Jours]]&gt;30,IF(Tableau3453[[#This Row],[Jours]]&lt;60,Tableau3453[[#This Row],[Montant
de la facture
CHF]],""),""),"")</f>
        <v/>
      </c>
      <c r="P493" s="263" t="str">
        <f>IF(Tableau3453[[#This Row],[Date 
du paiement]]="",IF(Tableau3453[[#This Row],[Jours]]&gt;60,Tableau3453[[#This Row],[Montant
de la facture
CHF]],""),"")</f>
        <v/>
      </c>
      <c r="Q493" s="266"/>
      <c r="R493" s="267" t="str">
        <f>Tableau3453[[#This Row],[Solde 
ouverte
fm]]</f>
        <v/>
      </c>
      <c r="S49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4" spans="1:19" hidden="1" outlineLevel="1" x14ac:dyDescent="0.25">
      <c r="A494" s="268">
        <v>240701</v>
      </c>
      <c r="B494" s="239">
        <v>30</v>
      </c>
      <c r="C494" s="352" t="str">
        <f>IF(Tableau3453[[#This Row],[Date 
du paiement]]="",IF(Tableau3453[[#This Row],[Jours]]&gt;Tableau3453[[#This Row],[Conditions
pmt+]]+5,"oui",""),"")</f>
        <v/>
      </c>
      <c r="D494" s="262" t="s">
        <v>927</v>
      </c>
      <c r="E494" s="240">
        <v>45483</v>
      </c>
      <c r="F494" s="263">
        <v>814.75</v>
      </c>
      <c r="G494" s="242" t="str">
        <f>IF(Tableau3453[[#This Row],[Date 
du paiement]]="",Tableau3453[[#This Row],[Montant
de la facture
CHF]],"")</f>
        <v/>
      </c>
      <c r="H494" s="243"/>
      <c r="I494" s="245">
        <v>45489</v>
      </c>
      <c r="J494" s="246">
        <v>45510</v>
      </c>
      <c r="K494" s="247" t="s">
        <v>58</v>
      </c>
      <c r="L494" s="264"/>
      <c r="M494" s="265">
        <f>IF(Tableau3453[[#This Row],[Date 
du paiement]]="",$D$4-Tableau3453[[#This Row],[Date
de la facture]],Tableau3453[[#This Row],[Date 
du paiement]]-Tableau3453[[#This Row],[Date
de la facture]])</f>
        <v>27</v>
      </c>
      <c r="N494" s="263" t="str">
        <f>IF(Tableau3453[[#This Row],[Date 
du paiement]]="",IF(Tableau3453[[#This Row],[Jours]]&lt;30,Tableau3453[[#This Row],[Montant
de la facture
CHF]],""),"")</f>
        <v/>
      </c>
      <c r="O494" s="263" t="str">
        <f>IF(Tableau3453[[#This Row],[Date 
du paiement]]="",IF(Tableau3453[[#This Row],[Jours]]&gt;30,IF(Tableau3453[[#This Row],[Jours]]&lt;60,Tableau3453[[#This Row],[Montant
de la facture
CHF]],""),""),"")</f>
        <v/>
      </c>
      <c r="P494" s="263" t="str">
        <f>IF(Tableau3453[[#This Row],[Date 
du paiement]]="",IF(Tableau3453[[#This Row],[Jours]]&gt;60,Tableau3453[[#This Row],[Montant
de la facture
CHF]],""),"")</f>
        <v/>
      </c>
      <c r="Q494" s="266"/>
      <c r="R494" s="267" t="str">
        <f>Tableau3453[[#This Row],[Solde 
ouverte
fm]]</f>
        <v/>
      </c>
      <c r="S49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5" spans="1:19" hidden="1" outlineLevel="1" x14ac:dyDescent="0.25">
      <c r="A495" s="268">
        <v>240700</v>
      </c>
      <c r="B495" s="239">
        <v>30</v>
      </c>
      <c r="C495" s="352" t="str">
        <f>IF(Tableau3453[[#This Row],[Date 
du paiement]]="",IF(Tableau3453[[#This Row],[Jours]]&gt;Tableau3453[[#This Row],[Conditions
pmt+]]+5,"oui",""),"")</f>
        <v/>
      </c>
      <c r="D495" s="262" t="s">
        <v>1210</v>
      </c>
      <c r="E495" s="240">
        <v>45489</v>
      </c>
      <c r="F495" s="263">
        <v>714.75</v>
      </c>
      <c r="G495" s="242" t="str">
        <f>IF(Tableau3453[[#This Row],[Date 
du paiement]]="",Tableau3453[[#This Row],[Montant
de la facture
CHF]],"")</f>
        <v/>
      </c>
      <c r="H495" s="243"/>
      <c r="I495" s="245">
        <v>45490</v>
      </c>
      <c r="J495" s="246">
        <v>45534</v>
      </c>
      <c r="K495" s="247" t="s">
        <v>58</v>
      </c>
      <c r="L495" s="264">
        <v>1</v>
      </c>
      <c r="M495" s="265">
        <f>IF(Tableau3453[[#This Row],[Date 
du paiement]]="",$D$4-Tableau3453[[#This Row],[Date
de la facture]],Tableau3453[[#This Row],[Date 
du paiement]]-Tableau3453[[#This Row],[Date
de la facture]])</f>
        <v>45</v>
      </c>
      <c r="N495" s="263" t="str">
        <f>IF(Tableau3453[[#This Row],[Date 
du paiement]]="",IF(Tableau3453[[#This Row],[Jours]]&lt;30,Tableau3453[[#This Row],[Montant
de la facture
CHF]],""),"")</f>
        <v/>
      </c>
      <c r="O495" s="263" t="str">
        <f>IF(Tableau3453[[#This Row],[Date 
du paiement]]="",IF(Tableau3453[[#This Row],[Jours]]&gt;30,IF(Tableau3453[[#This Row],[Jours]]&lt;60,Tableau3453[[#This Row],[Montant
de la facture
CHF]],""),""),"")</f>
        <v/>
      </c>
      <c r="P495" s="263" t="str">
        <f>IF(Tableau3453[[#This Row],[Date 
du paiement]]="",IF(Tableau3453[[#This Row],[Jours]]&gt;60,Tableau3453[[#This Row],[Montant
de la facture
CHF]],""),"")</f>
        <v/>
      </c>
      <c r="Q495" s="266" t="s">
        <v>1406</v>
      </c>
      <c r="R495" s="267" t="str">
        <f>Tableau3453[[#This Row],[Solde 
ouverte
fm]]</f>
        <v/>
      </c>
      <c r="S49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6" spans="1:19" hidden="1" outlineLevel="1" x14ac:dyDescent="0.25">
      <c r="A496" s="268">
        <v>240705</v>
      </c>
      <c r="B496" s="239">
        <v>30</v>
      </c>
      <c r="C496" s="352" t="str">
        <f>IF(Tableau3453[[#This Row],[Date 
du paiement]]="",IF(Tableau3453[[#This Row],[Jours]]&gt;Tableau3453[[#This Row],[Conditions
pmt+]]+5,"oui",""),"")</f>
        <v/>
      </c>
      <c r="D496" s="262" t="s">
        <v>900</v>
      </c>
      <c r="E496" s="240">
        <v>45489</v>
      </c>
      <c r="F496" s="263">
        <v>2938.15</v>
      </c>
      <c r="G496" s="242" t="str">
        <f>IF(Tableau3453[[#This Row],[Date 
du paiement]]="",Tableau3453[[#This Row],[Montant
de la facture
CHF]],"")</f>
        <v/>
      </c>
      <c r="H496" s="243"/>
      <c r="I496" s="245">
        <v>45489</v>
      </c>
      <c r="J496" s="246">
        <v>45527</v>
      </c>
      <c r="K496" s="247" t="s">
        <v>58</v>
      </c>
      <c r="L496" s="264"/>
      <c r="M496" s="265">
        <f>IF(Tableau3453[[#This Row],[Date 
du paiement]]="",$D$4-Tableau3453[[#This Row],[Date
de la facture]],Tableau3453[[#This Row],[Date 
du paiement]]-Tableau3453[[#This Row],[Date
de la facture]])</f>
        <v>38</v>
      </c>
      <c r="N496" s="263" t="str">
        <f>IF(Tableau3453[[#This Row],[Date 
du paiement]]="",IF(Tableau3453[[#This Row],[Jours]]&lt;30,Tableau3453[[#This Row],[Montant
de la facture
CHF]],""),"")</f>
        <v/>
      </c>
      <c r="O496" s="263" t="str">
        <f>IF(Tableau3453[[#This Row],[Date 
du paiement]]="",IF(Tableau3453[[#This Row],[Jours]]&gt;30,IF(Tableau3453[[#This Row],[Jours]]&lt;60,Tableau3453[[#This Row],[Montant
de la facture
CHF]],""),""),"")</f>
        <v/>
      </c>
      <c r="P496" s="263" t="str">
        <f>IF(Tableau3453[[#This Row],[Date 
du paiement]]="",IF(Tableau3453[[#This Row],[Jours]]&gt;60,Tableau3453[[#This Row],[Montant
de la facture
CHF]],""),"")</f>
        <v/>
      </c>
      <c r="Q496" s="266"/>
      <c r="R496" s="267" t="str">
        <f>Tableau3453[[#This Row],[Solde 
ouverte
fm]]</f>
        <v/>
      </c>
      <c r="S49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7" spans="1:19" hidden="1" outlineLevel="1" x14ac:dyDescent="0.25">
      <c r="A497" s="268">
        <v>240699</v>
      </c>
      <c r="B497" s="239">
        <v>30</v>
      </c>
      <c r="C497" s="352" t="str">
        <f>IF(Tableau3453[[#This Row],[Date 
du paiement]]="",IF(Tableau3453[[#This Row],[Jours]]&gt;Tableau3453[[#This Row],[Conditions
pmt+]]+5,"oui",""),"")</f>
        <v/>
      </c>
      <c r="D497" s="262" t="s">
        <v>1210</v>
      </c>
      <c r="E497" s="240">
        <v>45489</v>
      </c>
      <c r="F497" s="263">
        <v>1608</v>
      </c>
      <c r="G497" s="242" t="str">
        <f>IF(Tableau3453[[#This Row],[Date 
du paiement]]="",Tableau3453[[#This Row],[Montant
de la facture
CHF]],"")</f>
        <v/>
      </c>
      <c r="H497" s="243"/>
      <c r="I497" s="245">
        <v>45490</v>
      </c>
      <c r="J497" s="246">
        <v>45534</v>
      </c>
      <c r="K497" s="247" t="s">
        <v>58</v>
      </c>
      <c r="L497" s="264">
        <v>1</v>
      </c>
      <c r="M497" s="265">
        <f>IF(Tableau3453[[#This Row],[Date 
du paiement]]="",$D$4-Tableau3453[[#This Row],[Date
de la facture]],Tableau3453[[#This Row],[Date 
du paiement]]-Tableau3453[[#This Row],[Date
de la facture]])</f>
        <v>45</v>
      </c>
      <c r="N497" s="263" t="str">
        <f>IF(Tableau3453[[#This Row],[Date 
du paiement]]="",IF(Tableau3453[[#This Row],[Jours]]&lt;30,Tableau3453[[#This Row],[Montant
de la facture
CHF]],""),"")</f>
        <v/>
      </c>
      <c r="O497" s="263" t="str">
        <f>IF(Tableau3453[[#This Row],[Date 
du paiement]]="",IF(Tableau3453[[#This Row],[Jours]]&gt;30,IF(Tableau3453[[#This Row],[Jours]]&lt;60,Tableau3453[[#This Row],[Montant
de la facture
CHF]],""),""),"")</f>
        <v/>
      </c>
      <c r="P497" s="263" t="str">
        <f>IF(Tableau3453[[#This Row],[Date 
du paiement]]="",IF(Tableau3453[[#This Row],[Jours]]&gt;60,Tableau3453[[#This Row],[Montant
de la facture
CHF]],""),"")</f>
        <v/>
      </c>
      <c r="Q497" s="266" t="s">
        <v>1406</v>
      </c>
      <c r="R497" s="267" t="str">
        <f>Tableau3453[[#This Row],[Solde 
ouverte
fm]]</f>
        <v/>
      </c>
      <c r="S49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8" spans="1:19" hidden="1" outlineLevel="1" x14ac:dyDescent="0.25">
      <c r="A498" s="268">
        <v>240436</v>
      </c>
      <c r="B498" s="239">
        <v>30</v>
      </c>
      <c r="C498" s="352" t="str">
        <f>IF(Tableau3453[[#This Row],[Date 
du paiement]]="",IF(Tableau3453[[#This Row],[Jours]]&gt;Tableau3453[[#This Row],[Conditions
pmt+]]+5,"oui",""),"")</f>
        <v/>
      </c>
      <c r="D498" s="262" t="s">
        <v>1263</v>
      </c>
      <c r="E498" s="240">
        <v>45499</v>
      </c>
      <c r="F498" s="263">
        <v>2940.45</v>
      </c>
      <c r="G498" s="242" t="str">
        <f>IF(Tableau3453[[#This Row],[Date 
du paiement]]="",Tableau3453[[#This Row],[Montant
de la facture
CHF]],"")</f>
        <v/>
      </c>
      <c r="H498" s="243"/>
      <c r="I498" s="245">
        <v>45499</v>
      </c>
      <c r="J498" s="246">
        <v>45532</v>
      </c>
      <c r="K498" s="247" t="s">
        <v>58</v>
      </c>
      <c r="L498" s="264"/>
      <c r="M498" s="265">
        <f>IF(Tableau3453[[#This Row],[Date 
du paiement]]="",$D$4-Tableau3453[[#This Row],[Date
de la facture]],Tableau3453[[#This Row],[Date 
du paiement]]-Tableau3453[[#This Row],[Date
de la facture]])</f>
        <v>33</v>
      </c>
      <c r="N498" s="263" t="str">
        <f>IF(Tableau3453[[#This Row],[Date 
du paiement]]="",IF(Tableau3453[[#This Row],[Jours]]&lt;30,Tableau3453[[#This Row],[Montant
de la facture
CHF]],""),"")</f>
        <v/>
      </c>
      <c r="O498" s="263" t="str">
        <f>IF(Tableau3453[[#This Row],[Date 
du paiement]]="",IF(Tableau3453[[#This Row],[Jours]]&gt;30,IF(Tableau3453[[#This Row],[Jours]]&lt;60,Tableau3453[[#This Row],[Montant
de la facture
CHF]],""),""),"")</f>
        <v/>
      </c>
      <c r="P498" s="263" t="str">
        <f>IF(Tableau3453[[#This Row],[Date 
du paiement]]="",IF(Tableau3453[[#This Row],[Jours]]&gt;60,Tableau3453[[#This Row],[Montant
de la facture
CHF]],""),"")</f>
        <v/>
      </c>
      <c r="Q498" s="266"/>
      <c r="R498" s="267" t="str">
        <f>Tableau3453[[#This Row],[Solde 
ouverte
fm]]</f>
        <v/>
      </c>
      <c r="S49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499" spans="1:19" hidden="1" outlineLevel="1" x14ac:dyDescent="0.25">
      <c r="A499" s="268">
        <v>240684</v>
      </c>
      <c r="B499" s="239">
        <v>30</v>
      </c>
      <c r="C499" s="352" t="str">
        <f>IF(Tableau3453[[#This Row],[Date 
du paiement]]="",IF(Tableau3453[[#This Row],[Jours]]&gt;Tableau3453[[#This Row],[Conditions
pmt+]]+5,"oui",""),"")</f>
        <v/>
      </c>
      <c r="D499" s="262" t="s">
        <v>969</v>
      </c>
      <c r="E499" s="240">
        <v>45484</v>
      </c>
      <c r="F499" s="263">
        <v>1727.55</v>
      </c>
      <c r="G499" s="242" t="str">
        <f>IF(Tableau3453[[#This Row],[Date 
du paiement]]="",Tableau3453[[#This Row],[Montant
de la facture
CHF]],"")</f>
        <v/>
      </c>
      <c r="H499" s="243"/>
      <c r="I499" s="245">
        <v>45485</v>
      </c>
      <c r="J499" s="246">
        <v>45478</v>
      </c>
      <c r="K499" s="247" t="s">
        <v>58</v>
      </c>
      <c r="L499" s="264"/>
      <c r="M499" s="265">
        <f>IF(Tableau3453[[#This Row],[Date 
du paiement]]="",$D$4-Tableau3453[[#This Row],[Date
de la facture]],Tableau3453[[#This Row],[Date 
du paiement]]-Tableau3453[[#This Row],[Date
de la facture]])</f>
        <v>-6</v>
      </c>
      <c r="N499" s="263" t="str">
        <f>IF(Tableau3453[[#This Row],[Date 
du paiement]]="",IF(Tableau3453[[#This Row],[Jours]]&lt;30,Tableau3453[[#This Row],[Montant
de la facture
CHF]],""),"")</f>
        <v/>
      </c>
      <c r="O499" s="263" t="str">
        <f>IF(Tableau3453[[#This Row],[Date 
du paiement]]="",IF(Tableau3453[[#This Row],[Jours]]&gt;30,IF(Tableau3453[[#This Row],[Jours]]&lt;60,Tableau3453[[#This Row],[Montant
de la facture
CHF]],""),""),"")</f>
        <v/>
      </c>
      <c r="P499" s="263" t="str">
        <f>IF(Tableau3453[[#This Row],[Date 
du paiement]]="",IF(Tableau3453[[#This Row],[Jours]]&gt;60,Tableau3453[[#This Row],[Montant
de la facture
CHF]],""),"")</f>
        <v/>
      </c>
      <c r="Q499" s="266"/>
      <c r="R499" s="267" t="str">
        <f>Tableau3453[[#This Row],[Solde 
ouverte
fm]]</f>
        <v/>
      </c>
      <c r="S49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0" spans="1:19" hidden="1" outlineLevel="1" x14ac:dyDescent="0.25">
      <c r="A500" s="268">
        <v>240665</v>
      </c>
      <c r="B500" s="239" t="s">
        <v>860</v>
      </c>
      <c r="C500" s="352" t="str">
        <f>IF(Tableau3453[[#This Row],[Date 
du paiement]]="",IF(Tableau3453[[#This Row],[Jours]]&gt;Tableau3453[[#This Row],[Conditions
pmt+]]+5,"oui",""),"")</f>
        <v/>
      </c>
      <c r="D500" s="262" t="s">
        <v>1210</v>
      </c>
      <c r="E500" s="240">
        <v>45477</v>
      </c>
      <c r="F500" s="263">
        <v>1727.75</v>
      </c>
      <c r="G500" s="242" t="str">
        <f>IF(Tableau3453[[#This Row],[Date 
du paiement]]="",Tableau3453[[#This Row],[Montant
de la facture
CHF]],"")</f>
        <v/>
      </c>
      <c r="H500" s="243"/>
      <c r="I500" s="245">
        <v>45478</v>
      </c>
      <c r="J500" s="246">
        <v>45534</v>
      </c>
      <c r="K500" s="247" t="s">
        <v>58</v>
      </c>
      <c r="L500" s="264">
        <v>3</v>
      </c>
      <c r="M500" s="265">
        <f>IF(Tableau3453[[#This Row],[Date 
du paiement]]="",$D$4-Tableau3453[[#This Row],[Date
de la facture]],Tableau3453[[#This Row],[Date 
du paiement]]-Tableau3453[[#This Row],[Date
de la facture]])</f>
        <v>57</v>
      </c>
      <c r="N500" s="263" t="str">
        <f>IF(Tableau3453[[#This Row],[Date 
du paiement]]="",IF(Tableau3453[[#This Row],[Jours]]&lt;30,Tableau3453[[#This Row],[Montant
de la facture
CHF]],""),"")</f>
        <v/>
      </c>
      <c r="O500" s="263" t="str">
        <f>IF(Tableau3453[[#This Row],[Date 
du paiement]]="",IF(Tableau3453[[#This Row],[Jours]]&gt;30,IF(Tableau3453[[#This Row],[Jours]]&lt;60,Tableau3453[[#This Row],[Montant
de la facture
CHF]],""),""),"")</f>
        <v/>
      </c>
      <c r="P500" s="263" t="str">
        <f>IF(Tableau3453[[#This Row],[Date 
du paiement]]="",IF(Tableau3453[[#This Row],[Jours]]&gt;60,Tableau3453[[#This Row],[Montant
de la facture
CHF]],""),"")</f>
        <v/>
      </c>
      <c r="Q500" s="266" t="s">
        <v>1406</v>
      </c>
      <c r="R500" s="267" t="str">
        <f>Tableau3453[[#This Row],[Solde 
ouverte
fm]]</f>
        <v/>
      </c>
      <c r="S50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1" spans="1:19" hidden="1" outlineLevel="1" x14ac:dyDescent="0.25">
      <c r="A501" s="268">
        <v>240692</v>
      </c>
      <c r="B501" s="239">
        <v>30</v>
      </c>
      <c r="C501" s="352" t="str">
        <f>IF(Tableau3453[[#This Row],[Date 
du paiement]]="",IF(Tableau3453[[#This Row],[Jours]]&gt;Tableau3453[[#This Row],[Conditions
pmt+]]+5,"oui",""),"")</f>
        <v/>
      </c>
      <c r="D501" s="262" t="s">
        <v>887</v>
      </c>
      <c r="E501" s="240">
        <v>45485</v>
      </c>
      <c r="F501" s="263">
        <v>2380.8000000000002</v>
      </c>
      <c r="G501" s="242" t="str">
        <f>IF(Tableau3453[[#This Row],[Date 
du paiement]]="",Tableau3453[[#This Row],[Montant
de la facture
CHF]],"")</f>
        <v/>
      </c>
      <c r="H501" s="243" t="s">
        <v>1293</v>
      </c>
      <c r="I501" s="245">
        <v>45488</v>
      </c>
      <c r="J501" s="246">
        <v>45519</v>
      </c>
      <c r="K501" s="247" t="s">
        <v>58</v>
      </c>
      <c r="L501" s="264"/>
      <c r="M501" s="265">
        <f>IF(Tableau3453[[#This Row],[Date 
du paiement]]="",$D$4-Tableau3453[[#This Row],[Date
de la facture]],Tableau3453[[#This Row],[Date 
du paiement]]-Tableau3453[[#This Row],[Date
de la facture]])</f>
        <v>34</v>
      </c>
      <c r="N501" s="263" t="str">
        <f>IF(Tableau3453[[#This Row],[Date 
du paiement]]="",IF(Tableau3453[[#This Row],[Jours]]&lt;30,Tableau3453[[#This Row],[Montant
de la facture
CHF]],""),"")</f>
        <v/>
      </c>
      <c r="O501" s="263" t="str">
        <f>IF(Tableau3453[[#This Row],[Date 
du paiement]]="",IF(Tableau3453[[#This Row],[Jours]]&gt;30,IF(Tableau3453[[#This Row],[Jours]]&lt;60,Tableau3453[[#This Row],[Montant
de la facture
CHF]],""),""),"")</f>
        <v/>
      </c>
      <c r="P501" s="263" t="str">
        <f>IF(Tableau3453[[#This Row],[Date 
du paiement]]="",IF(Tableau3453[[#This Row],[Jours]]&gt;60,Tableau3453[[#This Row],[Montant
de la facture
CHF]],""),"")</f>
        <v/>
      </c>
      <c r="Q501" s="266"/>
      <c r="R501" s="267" t="str">
        <f>Tableau3453[[#This Row],[Solde 
ouverte
fm]]</f>
        <v/>
      </c>
      <c r="S50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2" spans="1:19" hidden="1" outlineLevel="1" x14ac:dyDescent="0.25">
      <c r="A502" s="268">
        <v>240706</v>
      </c>
      <c r="B502" s="239">
        <v>30</v>
      </c>
      <c r="C502" s="352" t="str">
        <f>IF(Tableau3453[[#This Row],[Date 
du paiement]]="",IF(Tableau3453[[#This Row],[Jours]]&gt;Tableau3453[[#This Row],[Conditions
pmt+]]+5,"oui",""),"")</f>
        <v/>
      </c>
      <c r="D502" s="262" t="s">
        <v>927</v>
      </c>
      <c r="E502" s="240">
        <v>45484</v>
      </c>
      <c r="F502" s="263">
        <v>582.75</v>
      </c>
      <c r="G502" s="242" t="str">
        <f>IF(Tableau3453[[#This Row],[Date 
du paiement]]="",Tableau3453[[#This Row],[Montant
de la facture
CHF]],"")</f>
        <v/>
      </c>
      <c r="H502" s="243"/>
      <c r="I502" s="245">
        <v>45485</v>
      </c>
      <c r="J502" s="246">
        <v>45510</v>
      </c>
      <c r="K502" s="247" t="s">
        <v>58</v>
      </c>
      <c r="L502" s="264"/>
      <c r="M502" s="265">
        <f>IF(Tableau3453[[#This Row],[Date 
du paiement]]="",$D$4-Tableau3453[[#This Row],[Date
de la facture]],Tableau3453[[#This Row],[Date 
du paiement]]-Tableau3453[[#This Row],[Date
de la facture]])</f>
        <v>26</v>
      </c>
      <c r="N502" s="263" t="str">
        <f>IF(Tableau3453[[#This Row],[Date 
du paiement]]="",IF(Tableau3453[[#This Row],[Jours]]&lt;30,Tableau3453[[#This Row],[Montant
de la facture
CHF]],""),"")</f>
        <v/>
      </c>
      <c r="O502" s="263" t="str">
        <f>IF(Tableau3453[[#This Row],[Date 
du paiement]]="",IF(Tableau3453[[#This Row],[Jours]]&gt;30,IF(Tableau3453[[#This Row],[Jours]]&lt;60,Tableau3453[[#This Row],[Montant
de la facture
CHF]],""),""),"")</f>
        <v/>
      </c>
      <c r="P502" s="263" t="str">
        <f>IF(Tableau3453[[#This Row],[Date 
du paiement]]="",IF(Tableau3453[[#This Row],[Jours]]&gt;60,Tableau3453[[#This Row],[Montant
de la facture
CHF]],""),"")</f>
        <v/>
      </c>
      <c r="Q502" s="266"/>
      <c r="R502" s="267" t="str">
        <f>Tableau3453[[#This Row],[Solde 
ouverte
fm]]</f>
        <v/>
      </c>
      <c r="S50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3" spans="1:19" hidden="1" outlineLevel="1" x14ac:dyDescent="0.25">
      <c r="A503" s="268">
        <v>240922</v>
      </c>
      <c r="B503" s="239">
        <v>30</v>
      </c>
      <c r="C503" s="352" t="str">
        <f>IF(Tableau3453[[#This Row],[Date 
du paiement]]="",IF(Tableau3453[[#This Row],[Jours]]&gt;Tableau3453[[#This Row],[Conditions
pmt+]]+5,"oui",""),"")</f>
        <v/>
      </c>
      <c r="D503" s="262" t="s">
        <v>900</v>
      </c>
      <c r="E503" s="240">
        <v>45566</v>
      </c>
      <c r="F503" s="263">
        <v>3940.15</v>
      </c>
      <c r="G503" s="396" t="str">
        <f>IF(Tableau3453[[#This Row],[Date 
du paiement]]="",Tableau3453[[#This Row],[Montant
de la facture
CHF]],"")</f>
        <v/>
      </c>
      <c r="H503" s="243"/>
      <c r="I503" s="245">
        <v>45568</v>
      </c>
      <c r="J503" s="246">
        <v>45597</v>
      </c>
      <c r="K503" s="247" t="s">
        <v>58</v>
      </c>
      <c r="L503" s="264"/>
      <c r="M503" s="265">
        <f>IF(Tableau3453[[#This Row],[Date 
du paiement]]="",$D$4-Tableau3453[[#This Row],[Date
de la facture]],Tableau3453[[#This Row],[Date 
du paiement]]-Tableau3453[[#This Row],[Date
de la facture]])</f>
        <v>31</v>
      </c>
      <c r="N503" s="263" t="str">
        <f>IF(Tableau3453[[#This Row],[Date 
du paiement]]="",IF(Tableau3453[[#This Row],[Jours]]&lt;30,Tableau3453[[#This Row],[Montant
de la facture
CHF]],""),"")</f>
        <v/>
      </c>
      <c r="O503" s="263" t="str">
        <f>IF(Tableau3453[[#This Row],[Date 
du paiement]]="",IF(Tableau3453[[#This Row],[Jours]]&gt;30,IF(Tableau3453[[#This Row],[Jours]]&lt;60,Tableau3453[[#This Row],[Montant
de la facture
CHF]],""),""),"")</f>
        <v/>
      </c>
      <c r="P503" s="263" t="str">
        <f>IF(Tableau3453[[#This Row],[Date 
du paiement]]="",IF(Tableau3453[[#This Row],[Jours]]&gt;60,Tableau3453[[#This Row],[Montant
de la facture
CHF]],""),"")</f>
        <v/>
      </c>
      <c r="Q503" s="266"/>
      <c r="R503" s="267" t="str">
        <f>Tableau3453[[#This Row],[Solde 
ouverte
fm]]</f>
        <v/>
      </c>
      <c r="S50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4" spans="1:19" hidden="1" outlineLevel="1" x14ac:dyDescent="0.25">
      <c r="A504" s="268">
        <v>240712</v>
      </c>
      <c r="B504" s="239">
        <v>30</v>
      </c>
      <c r="C504" s="352" t="str">
        <f>IF(Tableau3453[[#This Row],[Date 
du paiement]]="",IF(Tableau3453[[#This Row],[Jours]]&gt;Tableau3453[[#This Row],[Conditions
pmt+]]+5,"oui",""),"")</f>
        <v/>
      </c>
      <c r="D504" s="262" t="s">
        <v>1260</v>
      </c>
      <c r="E504" s="240">
        <v>45497</v>
      </c>
      <c r="F504" s="263">
        <v>578.45000000000005</v>
      </c>
      <c r="G504" s="242" t="str">
        <f>IF(Tableau3453[[#This Row],[Date 
du paiement]]="",Tableau3453[[#This Row],[Montant
de la facture
CHF]],"")</f>
        <v/>
      </c>
      <c r="H504" s="243"/>
      <c r="I504" s="245">
        <v>45498</v>
      </c>
      <c r="J504" s="246">
        <v>45553</v>
      </c>
      <c r="K504" s="247" t="s">
        <v>58</v>
      </c>
      <c r="L504" s="264">
        <v>2</v>
      </c>
      <c r="M504" s="265">
        <f>IF(Tableau3453[[#This Row],[Date 
du paiement]]="",$D$4-Tableau3453[[#This Row],[Date
de la facture]],Tableau3453[[#This Row],[Date 
du paiement]]-Tableau3453[[#This Row],[Date
de la facture]])</f>
        <v>56</v>
      </c>
      <c r="N504" s="263" t="str">
        <f>IF(Tableau3453[[#This Row],[Date 
du paiement]]="",IF(Tableau3453[[#This Row],[Jours]]&lt;30,Tableau3453[[#This Row],[Montant
de la facture
CHF]],""),"")</f>
        <v/>
      </c>
      <c r="O504" s="263" t="str">
        <f>IF(Tableau3453[[#This Row],[Date 
du paiement]]="",IF(Tableau3453[[#This Row],[Jours]]&gt;30,IF(Tableau3453[[#This Row],[Jours]]&lt;60,Tableau3453[[#This Row],[Montant
de la facture
CHF]],""),""),"")</f>
        <v/>
      </c>
      <c r="P504" s="263" t="str">
        <f>IF(Tableau3453[[#This Row],[Date 
du paiement]]="",IF(Tableau3453[[#This Row],[Jours]]&gt;60,Tableau3453[[#This Row],[Montant
de la facture
CHF]],""),"")</f>
        <v/>
      </c>
      <c r="Q504" s="266"/>
      <c r="R504" s="267" t="str">
        <f>Tableau3453[[#This Row],[Solde 
ouverte
fm]]</f>
        <v/>
      </c>
      <c r="S5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5" spans="1:19" hidden="1" outlineLevel="1" x14ac:dyDescent="0.25">
      <c r="A505" s="268">
        <v>240663</v>
      </c>
      <c r="B505" s="239" t="s">
        <v>870</v>
      </c>
      <c r="C505" s="352" t="str">
        <f>IF(Tableau3453[[#This Row],[Date 
du paiement]]="",IF(Tableau3453[[#This Row],[Jours]]&gt;Tableau3453[[#This Row],[Conditions
pmt+]]+5,"oui",""),"")</f>
        <v/>
      </c>
      <c r="D505" s="262" t="s">
        <v>880</v>
      </c>
      <c r="E505" s="240">
        <v>45488</v>
      </c>
      <c r="F505" s="263">
        <v>8731.7999999999993</v>
      </c>
      <c r="G505" s="242" t="str">
        <f>IF(Tableau3453[[#This Row],[Date 
du paiement]]="",Tableau3453[[#This Row],[Montant
de la facture
CHF]],"")</f>
        <v/>
      </c>
      <c r="H505" s="243"/>
      <c r="I505" s="245">
        <v>45489</v>
      </c>
      <c r="J505" s="246">
        <v>45478</v>
      </c>
      <c r="K505" s="247" t="s">
        <v>58</v>
      </c>
      <c r="L505" s="264"/>
      <c r="M505" s="265">
        <f>IF(Tableau3453[[#This Row],[Date 
du paiement]]="",$D$4-Tableau3453[[#This Row],[Date
de la facture]],Tableau3453[[#This Row],[Date 
du paiement]]-Tableau3453[[#This Row],[Date
de la facture]])</f>
        <v>-10</v>
      </c>
      <c r="N505" s="263" t="str">
        <f>IF(Tableau3453[[#This Row],[Date 
du paiement]]="",IF(Tableau3453[[#This Row],[Jours]]&lt;30,Tableau3453[[#This Row],[Montant
de la facture
CHF]],""),"")</f>
        <v/>
      </c>
      <c r="O505" s="263" t="str">
        <f>IF(Tableau3453[[#This Row],[Date 
du paiement]]="",IF(Tableau3453[[#This Row],[Jours]]&gt;30,IF(Tableau3453[[#This Row],[Jours]]&lt;60,Tableau3453[[#This Row],[Montant
de la facture
CHF]],""),""),"")</f>
        <v/>
      </c>
      <c r="P505" s="263" t="str">
        <f>IF(Tableau3453[[#This Row],[Date 
du paiement]]="",IF(Tableau3453[[#This Row],[Jours]]&gt;60,Tableau3453[[#This Row],[Montant
de la facture
CHF]],""),"")</f>
        <v/>
      </c>
      <c r="Q505" s="266"/>
      <c r="R505" s="267" t="str">
        <f>Tableau3453[[#This Row],[Solde 
ouverte
fm]]</f>
        <v/>
      </c>
      <c r="S50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6" spans="1:19" hidden="1" outlineLevel="1" x14ac:dyDescent="0.25">
      <c r="A506" s="268">
        <v>240735</v>
      </c>
      <c r="B506" s="239">
        <v>30</v>
      </c>
      <c r="C506" s="352" t="str">
        <f>IF(Tableau3453[[#This Row],[Date 
du paiement]]="",IF(Tableau3453[[#This Row],[Jours]]&gt;Tableau3453[[#This Row],[Conditions
pmt+]]+5,"oui",""),"")</f>
        <v/>
      </c>
      <c r="D506" s="262" t="s">
        <v>1260</v>
      </c>
      <c r="E506" s="240">
        <v>45497</v>
      </c>
      <c r="F506" s="263">
        <v>578.45000000000005</v>
      </c>
      <c r="G506" s="242" t="str">
        <f>IF(Tableau3453[[#This Row],[Date 
du paiement]]="",Tableau3453[[#This Row],[Montant
de la facture
CHF]],"")</f>
        <v/>
      </c>
      <c r="H506" s="243"/>
      <c r="I506" s="245">
        <v>45498</v>
      </c>
      <c r="J506" s="246">
        <v>45553</v>
      </c>
      <c r="K506" s="247" t="s">
        <v>58</v>
      </c>
      <c r="L506" s="264">
        <v>2</v>
      </c>
      <c r="M506" s="265">
        <f>IF(Tableau3453[[#This Row],[Date 
du paiement]]="",$D$4-Tableau3453[[#This Row],[Date
de la facture]],Tableau3453[[#This Row],[Date 
du paiement]]-Tableau3453[[#This Row],[Date
de la facture]])</f>
        <v>56</v>
      </c>
      <c r="N506" s="263" t="str">
        <f>IF(Tableau3453[[#This Row],[Date 
du paiement]]="",IF(Tableau3453[[#This Row],[Jours]]&lt;30,Tableau3453[[#This Row],[Montant
de la facture
CHF]],""),"")</f>
        <v/>
      </c>
      <c r="O506" s="263" t="str">
        <f>IF(Tableau3453[[#This Row],[Date 
du paiement]]="",IF(Tableau3453[[#This Row],[Jours]]&gt;30,IF(Tableau3453[[#This Row],[Jours]]&lt;60,Tableau3453[[#This Row],[Montant
de la facture
CHF]],""),""),"")</f>
        <v/>
      </c>
      <c r="P506" s="263" t="str">
        <f>IF(Tableau3453[[#This Row],[Date 
du paiement]]="",IF(Tableau3453[[#This Row],[Jours]]&gt;60,Tableau3453[[#This Row],[Montant
de la facture
CHF]],""),"")</f>
        <v/>
      </c>
      <c r="Q506" s="266"/>
      <c r="R506" s="267" t="str">
        <f>Tableau3453[[#This Row],[Solde 
ouverte
fm]]</f>
        <v/>
      </c>
      <c r="S50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7" spans="1:19" hidden="1" outlineLevel="1" x14ac:dyDescent="0.25">
      <c r="A507" s="268">
        <v>240707</v>
      </c>
      <c r="B507" s="239">
        <v>30</v>
      </c>
      <c r="C507" s="352" t="str">
        <f>IF(Tableau3453[[#This Row],[Date 
du paiement]]="",IF(Tableau3453[[#This Row],[Jours]]&gt;Tableau3453[[#This Row],[Conditions
pmt+]]+5,"oui",""),"")</f>
        <v/>
      </c>
      <c r="D507" s="262" t="s">
        <v>899</v>
      </c>
      <c r="E507" s="240">
        <v>45489</v>
      </c>
      <c r="F507" s="263">
        <v>1531</v>
      </c>
      <c r="G507" s="242" t="str">
        <f>IF(Tableau3453[[#This Row],[Date 
du paiement]]="",Tableau3453[[#This Row],[Montant
de la facture
CHF]],"")</f>
        <v/>
      </c>
      <c r="H507" s="243"/>
      <c r="I507" s="245">
        <v>45490</v>
      </c>
      <c r="J507" s="246">
        <v>45524</v>
      </c>
      <c r="K507" s="247" t="s">
        <v>58</v>
      </c>
      <c r="L507" s="264"/>
      <c r="M507" s="265">
        <f>IF(Tableau3453[[#This Row],[Date 
du paiement]]="",$D$4-Tableau3453[[#This Row],[Date
de la facture]],Tableau3453[[#This Row],[Date 
du paiement]]-Tableau3453[[#This Row],[Date
de la facture]])</f>
        <v>35</v>
      </c>
      <c r="N507" s="263" t="str">
        <f>IF(Tableau3453[[#This Row],[Date 
du paiement]]="",IF(Tableau3453[[#This Row],[Jours]]&lt;30,Tableau3453[[#This Row],[Montant
de la facture
CHF]],""),"")</f>
        <v/>
      </c>
      <c r="O507" s="263" t="str">
        <f>IF(Tableau3453[[#This Row],[Date 
du paiement]]="",IF(Tableau3453[[#This Row],[Jours]]&gt;30,IF(Tableau3453[[#This Row],[Jours]]&lt;60,Tableau3453[[#This Row],[Montant
de la facture
CHF]],""),""),"")</f>
        <v/>
      </c>
      <c r="P507" s="263" t="str">
        <f>IF(Tableau3453[[#This Row],[Date 
du paiement]]="",IF(Tableau3453[[#This Row],[Jours]]&gt;60,Tableau3453[[#This Row],[Montant
de la facture
CHF]],""),"")</f>
        <v/>
      </c>
      <c r="Q507" s="266"/>
      <c r="R507" s="267" t="str">
        <f>Tableau3453[[#This Row],[Solde 
ouverte
fm]]</f>
        <v/>
      </c>
      <c r="S50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8" spans="1:19" hidden="1" outlineLevel="1" x14ac:dyDescent="0.25">
      <c r="A508" s="268">
        <v>240743</v>
      </c>
      <c r="B508" s="239" t="s">
        <v>870</v>
      </c>
      <c r="C508" s="352" t="str">
        <f>IF(Tableau3453[[#This Row],[Date 
du paiement]]="",IF(Tableau3453[[#This Row],[Jours]]&gt;Tableau3453[[#This Row],[Conditions
pmt+]]+5,"oui",""),"")</f>
        <v/>
      </c>
      <c r="D508" s="262" t="s">
        <v>1261</v>
      </c>
      <c r="E508" s="240">
        <v>45498</v>
      </c>
      <c r="F508" s="263">
        <v>88.45</v>
      </c>
      <c r="G508" s="242" t="str">
        <f>IF(Tableau3453[[#This Row],[Date 
du paiement]]="",Tableau3453[[#This Row],[Montant
de la facture
CHF]],"")</f>
        <v/>
      </c>
      <c r="H508" s="243"/>
      <c r="I508" s="245">
        <v>45498</v>
      </c>
      <c r="J508" s="246">
        <v>45496</v>
      </c>
      <c r="K508" s="247" t="s">
        <v>1085</v>
      </c>
      <c r="L508" s="264"/>
      <c r="M508" s="265">
        <f>IF(Tableau3453[[#This Row],[Date 
du paiement]]="",$D$4-Tableau3453[[#This Row],[Date
de la facture]],Tableau3453[[#This Row],[Date 
du paiement]]-Tableau3453[[#This Row],[Date
de la facture]])</f>
        <v>-2</v>
      </c>
      <c r="N508" s="263" t="str">
        <f>IF(Tableau3453[[#This Row],[Date 
du paiement]]="",IF(Tableau3453[[#This Row],[Jours]]&lt;30,Tableau3453[[#This Row],[Montant
de la facture
CHF]],""),"")</f>
        <v/>
      </c>
      <c r="O508" s="263" t="str">
        <f>IF(Tableau3453[[#This Row],[Date 
du paiement]]="",IF(Tableau3453[[#This Row],[Jours]]&gt;30,IF(Tableau3453[[#This Row],[Jours]]&lt;60,Tableau3453[[#This Row],[Montant
de la facture
CHF]],""),""),"")</f>
        <v/>
      </c>
      <c r="P508" s="263" t="str">
        <f>IF(Tableau3453[[#This Row],[Date 
du paiement]]="",IF(Tableau3453[[#This Row],[Jours]]&gt;60,Tableau3453[[#This Row],[Montant
de la facture
CHF]],""),"")</f>
        <v/>
      </c>
      <c r="Q508" s="266"/>
      <c r="R508" s="267" t="str">
        <f>Tableau3453[[#This Row],[Solde 
ouverte
fm]]</f>
        <v/>
      </c>
      <c r="S50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09" spans="1:19" hidden="1" outlineLevel="1" x14ac:dyDescent="0.25">
      <c r="A509" s="268">
        <v>240745</v>
      </c>
      <c r="B509" s="239">
        <v>30</v>
      </c>
      <c r="C509" s="352" t="str">
        <f>IF(Tableau3453[[#This Row],[Date 
du paiement]]="",IF(Tableau3453[[#This Row],[Jours]]&gt;Tableau3453[[#This Row],[Conditions
pmt+]]+5,"oui",""),"")</f>
        <v/>
      </c>
      <c r="D509" s="262" t="s">
        <v>1014</v>
      </c>
      <c r="E509" s="240">
        <v>45492</v>
      </c>
      <c r="F509" s="263">
        <v>7702.1</v>
      </c>
      <c r="G509" s="242" t="str">
        <f>IF(Tableau3453[[#This Row],[Date 
du paiement]]="",Tableau3453[[#This Row],[Montant
de la facture
CHF]],"")</f>
        <v/>
      </c>
      <c r="H509" s="243" t="s">
        <v>1402</v>
      </c>
      <c r="I509" s="245">
        <v>45496</v>
      </c>
      <c r="J509" s="246">
        <v>45541</v>
      </c>
      <c r="K509" s="247" t="s">
        <v>58</v>
      </c>
      <c r="L509" s="264">
        <v>2</v>
      </c>
      <c r="M509" s="265">
        <f>IF(Tableau3453[[#This Row],[Date 
du paiement]]="",$D$4-Tableau3453[[#This Row],[Date
de la facture]],Tableau3453[[#This Row],[Date 
du paiement]]-Tableau3453[[#This Row],[Date
de la facture]])</f>
        <v>49</v>
      </c>
      <c r="N509" s="263" t="str">
        <f>IF(Tableau3453[[#This Row],[Date 
du paiement]]="",IF(Tableau3453[[#This Row],[Jours]]&lt;30,Tableau3453[[#This Row],[Montant
de la facture
CHF]],""),"")</f>
        <v/>
      </c>
      <c r="O509" s="263" t="str">
        <f>IF(Tableau3453[[#This Row],[Date 
du paiement]]="",IF(Tableau3453[[#This Row],[Jours]]&gt;30,IF(Tableau3453[[#This Row],[Jours]]&lt;60,Tableau3453[[#This Row],[Montant
de la facture
CHF]],""),""),"")</f>
        <v/>
      </c>
      <c r="P509" s="263" t="str">
        <f>IF(Tableau3453[[#This Row],[Date 
du paiement]]="",IF(Tableau3453[[#This Row],[Jours]]&gt;60,Tableau3453[[#This Row],[Montant
de la facture
CHF]],""),"")</f>
        <v/>
      </c>
      <c r="Q509" s="266" t="s">
        <v>1456</v>
      </c>
      <c r="R509" s="267" t="str">
        <f>Tableau3453[[#This Row],[Solde 
ouverte
fm]]</f>
        <v/>
      </c>
      <c r="S50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0" spans="1:19" hidden="1" outlineLevel="1" x14ac:dyDescent="0.25">
      <c r="A510" s="238">
        <v>240400</v>
      </c>
      <c r="B510" s="239" t="s">
        <v>857</v>
      </c>
      <c r="C510" s="352" t="str">
        <f>IF(Tableau3453[[#This Row],[Date 
du paiement]]="",IF(Tableau3453[[#This Row],[Jours]]&gt;Tableau3453[[#This Row],[Conditions
pmt+]]+5,"oui",""),"")</f>
        <v/>
      </c>
      <c r="D510" s="238" t="s">
        <v>916</v>
      </c>
      <c r="E510" s="240">
        <v>45443</v>
      </c>
      <c r="F510" s="263">
        <v>2847.35</v>
      </c>
      <c r="G510" s="242" t="str">
        <f>IF(Tableau3453[[#This Row],[Date 
du paiement]]="",Tableau3453[[#This Row],[Montant
de la facture
CHF]],"")</f>
        <v/>
      </c>
      <c r="H510" s="243"/>
      <c r="I510" s="245">
        <v>45446</v>
      </c>
      <c r="J510" s="246">
        <v>45513</v>
      </c>
      <c r="K510" s="247" t="s">
        <v>58</v>
      </c>
      <c r="L510" s="248">
        <v>1</v>
      </c>
      <c r="M510" s="248">
        <f>IF(Tableau3453[[#This Row],[Date 
du paiement]]="",$D$4-Tableau3453[[#This Row],[Date
de la facture]],Tableau3453[[#This Row],[Date 
du paiement]]-Tableau3453[[#This Row],[Date
de la facture]])</f>
        <v>70</v>
      </c>
      <c r="N510" s="241" t="str">
        <f>IF(Tableau3453[[#This Row],[Date 
du paiement]]="",IF(Tableau3453[[#This Row],[Jours]]&lt;30,Tableau3453[[#This Row],[Montant
de la facture
CHF]],""),"")</f>
        <v/>
      </c>
      <c r="O510" s="241" t="str">
        <f>IF(Tableau3453[[#This Row],[Date 
du paiement]]="",IF(Tableau3453[[#This Row],[Jours]]&gt;30,IF(Tableau3453[[#This Row],[Jours]]&lt;60,Tableau3453[[#This Row],[Montant
de la facture
CHF]],""),""),"")</f>
        <v/>
      </c>
      <c r="P510" s="241" t="str">
        <f>IF(Tableau3453[[#This Row],[Date 
du paiement]]="",IF(Tableau3453[[#This Row],[Jours]]&gt;60,Tableau3453[[#This Row],[Montant
de la facture
CHF]],""),"")</f>
        <v/>
      </c>
      <c r="Q510" s="249"/>
      <c r="R510" s="250" t="str">
        <f>Tableau3453[[#This Row],[Solde 
ouverte
fm]]</f>
        <v/>
      </c>
      <c r="S5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1" spans="1:19" hidden="1" outlineLevel="1" x14ac:dyDescent="0.25">
      <c r="A511" s="268">
        <v>240777</v>
      </c>
      <c r="B511" s="239">
        <v>30</v>
      </c>
      <c r="C511" s="352" t="str">
        <f>IF(Tableau3453[[#This Row],[Date 
du paiement]]="",IF(Tableau3453[[#This Row],[Jours]]&gt;Tableau3453[[#This Row],[Conditions
pmt+]]+5,"oui",""),"")</f>
        <v/>
      </c>
      <c r="D511" s="262" t="s">
        <v>880</v>
      </c>
      <c r="E511" s="240">
        <v>45516</v>
      </c>
      <c r="F511" s="263">
        <v>1159.95</v>
      </c>
      <c r="G511" s="242" t="str">
        <f>IF(Tableau3453[[#This Row],[Date 
du paiement]]="",Tableau3453[[#This Row],[Montant
de la facture
CHF]],"")</f>
        <v/>
      </c>
      <c r="H511" s="243"/>
      <c r="I511" s="245">
        <v>45517</v>
      </c>
      <c r="J511" s="246">
        <v>45541</v>
      </c>
      <c r="K511" s="247" t="s">
        <v>58</v>
      </c>
      <c r="L511" s="264"/>
      <c r="M511" s="265">
        <f>IF(Tableau3453[[#This Row],[Date 
du paiement]]="",$D$4-Tableau3453[[#This Row],[Date
de la facture]],Tableau3453[[#This Row],[Date 
du paiement]]-Tableau3453[[#This Row],[Date
de la facture]])</f>
        <v>25</v>
      </c>
      <c r="N511" s="263" t="str">
        <f>IF(Tableau3453[[#This Row],[Date 
du paiement]]="",IF(Tableau3453[[#This Row],[Jours]]&lt;30,Tableau3453[[#This Row],[Montant
de la facture
CHF]],""),"")</f>
        <v/>
      </c>
      <c r="O511" s="263" t="str">
        <f>IF(Tableau3453[[#This Row],[Date 
du paiement]]="",IF(Tableau3453[[#This Row],[Jours]]&gt;30,IF(Tableau3453[[#This Row],[Jours]]&lt;60,Tableau3453[[#This Row],[Montant
de la facture
CHF]],""),""),"")</f>
        <v/>
      </c>
      <c r="P511" s="263" t="str">
        <f>IF(Tableau3453[[#This Row],[Date 
du paiement]]="",IF(Tableau3453[[#This Row],[Jours]]&gt;60,Tableau3453[[#This Row],[Montant
de la facture
CHF]],""),"")</f>
        <v/>
      </c>
      <c r="Q511" s="266"/>
      <c r="R511" s="267" t="str">
        <f>Tableau3453[[#This Row],[Solde 
ouverte
fm]]</f>
        <v/>
      </c>
      <c r="S5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2" spans="1:19" hidden="1" outlineLevel="1" x14ac:dyDescent="0.25">
      <c r="A512" s="268">
        <v>240728</v>
      </c>
      <c r="B512" s="239">
        <v>30</v>
      </c>
      <c r="C512" s="352" t="str">
        <f>IF(Tableau3453[[#This Row],[Date 
du paiement]]="",IF(Tableau3453[[#This Row],[Jours]]&gt;Tableau3453[[#This Row],[Conditions
pmt+]]+5,"oui",""),"")</f>
        <v/>
      </c>
      <c r="D512" s="262" t="s">
        <v>1287</v>
      </c>
      <c r="E512" s="240">
        <v>45502</v>
      </c>
      <c r="F512" s="263">
        <v>1613.2</v>
      </c>
      <c r="G512" s="242" t="str">
        <f>IF(Tableau3453[[#This Row],[Date 
du paiement]]="",Tableau3453[[#This Row],[Montant
de la facture
CHF]],"")</f>
        <v/>
      </c>
      <c r="H512" s="243"/>
      <c r="I512" s="245">
        <v>45510</v>
      </c>
      <c r="J512" s="246">
        <v>45569</v>
      </c>
      <c r="K512" s="247" t="s">
        <v>58</v>
      </c>
      <c r="L512" s="264">
        <v>3</v>
      </c>
      <c r="M512" s="265">
        <f>IF(Tableau3453[[#This Row],[Date 
du paiement]]="",$D$4-Tableau3453[[#This Row],[Date
de la facture]],Tableau3453[[#This Row],[Date 
du paiement]]-Tableau3453[[#This Row],[Date
de la facture]])</f>
        <v>67</v>
      </c>
      <c r="N512" s="263" t="str">
        <f>IF(Tableau3453[[#This Row],[Date 
du paiement]]="",IF(Tableau3453[[#This Row],[Jours]]&lt;30,Tableau3453[[#This Row],[Montant
de la facture
CHF]],""),"")</f>
        <v/>
      </c>
      <c r="O512" s="263" t="str">
        <f>IF(Tableau3453[[#This Row],[Date 
du paiement]]="",IF(Tableau3453[[#This Row],[Jours]]&gt;30,IF(Tableau3453[[#This Row],[Jours]]&lt;60,Tableau3453[[#This Row],[Montant
de la facture
CHF]],""),""),"")</f>
        <v/>
      </c>
      <c r="P512" s="263" t="str">
        <f>IF(Tableau3453[[#This Row],[Date 
du paiement]]="",IF(Tableau3453[[#This Row],[Jours]]&gt;60,Tableau3453[[#This Row],[Montant
de la facture
CHF]],""),"")</f>
        <v/>
      </c>
      <c r="Q512" s="266" t="s">
        <v>1596</v>
      </c>
      <c r="R512" s="267" t="str">
        <f>Tableau3453[[#This Row],[Solde 
ouverte
fm]]</f>
        <v/>
      </c>
      <c r="S51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3" spans="1:19" hidden="1" outlineLevel="1" x14ac:dyDescent="0.25">
      <c r="A513" s="268">
        <v>240564</v>
      </c>
      <c r="B513" s="239">
        <v>30</v>
      </c>
      <c r="C513" s="352" t="str">
        <f>IF(Tableau3453[[#This Row],[Date 
du paiement]]="",IF(Tableau3453[[#This Row],[Jours]]&gt;Tableau3453[[#This Row],[Conditions
pmt+]]+5,"oui",""),"")</f>
        <v/>
      </c>
      <c r="D513" s="262" t="s">
        <v>880</v>
      </c>
      <c r="E513" s="240">
        <v>45490</v>
      </c>
      <c r="F513" s="263">
        <v>1089.8</v>
      </c>
      <c r="G513" s="242" t="str">
        <f>IF(Tableau3453[[#This Row],[Date 
du paiement]]="",Tableau3453[[#This Row],[Montant
de la facture
CHF]],"")</f>
        <v/>
      </c>
      <c r="H513" s="243"/>
      <c r="I513" s="245">
        <v>45492</v>
      </c>
      <c r="J513" s="246">
        <v>45524</v>
      </c>
      <c r="K513" s="247" t="s">
        <v>58</v>
      </c>
      <c r="L513" s="264"/>
      <c r="M513" s="265">
        <f>IF(Tableau3453[[#This Row],[Date 
du paiement]]="",$D$4-Tableau3453[[#This Row],[Date
de la facture]],Tableau3453[[#This Row],[Date 
du paiement]]-Tableau3453[[#This Row],[Date
de la facture]])</f>
        <v>34</v>
      </c>
      <c r="N513" s="263" t="str">
        <f>IF(Tableau3453[[#This Row],[Date 
du paiement]]="",IF(Tableau3453[[#This Row],[Jours]]&lt;30,Tableau3453[[#This Row],[Montant
de la facture
CHF]],""),"")</f>
        <v/>
      </c>
      <c r="O513" s="263" t="str">
        <f>IF(Tableau3453[[#This Row],[Date 
du paiement]]="",IF(Tableau3453[[#This Row],[Jours]]&gt;30,IF(Tableau3453[[#This Row],[Jours]]&lt;60,Tableau3453[[#This Row],[Montant
de la facture
CHF]],""),""),"")</f>
        <v/>
      </c>
      <c r="P513" s="263" t="str">
        <f>IF(Tableau3453[[#This Row],[Date 
du paiement]]="",IF(Tableau3453[[#This Row],[Jours]]&gt;60,Tableau3453[[#This Row],[Montant
de la facture
CHF]],""),"")</f>
        <v/>
      </c>
      <c r="Q513" s="266"/>
      <c r="R513" s="267" t="str">
        <f>Tableau3453[[#This Row],[Solde 
ouverte
fm]]</f>
        <v/>
      </c>
      <c r="S5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4" spans="1:19" hidden="1" outlineLevel="1" x14ac:dyDescent="0.25">
      <c r="A514" s="268">
        <v>240312</v>
      </c>
      <c r="B514" s="239">
        <v>30</v>
      </c>
      <c r="C514" s="352" t="str">
        <f>IF(Tableau3453[[#This Row],[Date 
du paiement]]="",IF(Tableau3453[[#This Row],[Jours]]&gt;Tableau3453[[#This Row],[Conditions
pmt+]]+5,"oui",""),"")</f>
        <v/>
      </c>
      <c r="D514" s="262" t="s">
        <v>909</v>
      </c>
      <c r="E514" s="240">
        <v>45483</v>
      </c>
      <c r="F514" s="263">
        <v>1069.05</v>
      </c>
      <c r="G514" s="242" t="str">
        <f>IF(Tableau3453[[#This Row],[Date 
du paiement]]="",Tableau3453[[#This Row],[Montant
de la facture
CHF]],"")</f>
        <v/>
      </c>
      <c r="H514" s="243"/>
      <c r="I514" s="245">
        <v>45485</v>
      </c>
      <c r="J514" s="246">
        <v>45545</v>
      </c>
      <c r="K514" s="247" t="s">
        <v>58</v>
      </c>
      <c r="L514" s="264">
        <v>3</v>
      </c>
      <c r="M514" s="265">
        <f>IF(Tableau3453[[#This Row],[Date 
du paiement]]="",$D$4-Tableau3453[[#This Row],[Date
de la facture]],Tableau3453[[#This Row],[Date 
du paiement]]-Tableau3453[[#This Row],[Date
de la facture]])</f>
        <v>62</v>
      </c>
      <c r="N514" s="263" t="str">
        <f>IF(Tableau3453[[#This Row],[Date 
du paiement]]="",IF(Tableau3453[[#This Row],[Jours]]&lt;30,Tableau3453[[#This Row],[Montant
de la facture
CHF]],""),"")</f>
        <v/>
      </c>
      <c r="O514" s="263" t="str">
        <f>IF(Tableau3453[[#This Row],[Date 
du paiement]]="",IF(Tableau3453[[#This Row],[Jours]]&gt;30,IF(Tableau3453[[#This Row],[Jours]]&lt;60,Tableau3453[[#This Row],[Montant
de la facture
CHF]],""),""),"")</f>
        <v/>
      </c>
      <c r="P514" s="263" t="str">
        <f>IF(Tableau3453[[#This Row],[Date 
du paiement]]="",IF(Tableau3453[[#This Row],[Jours]]&gt;60,Tableau3453[[#This Row],[Montant
de la facture
CHF]],""),"")</f>
        <v/>
      </c>
      <c r="Q514" s="266"/>
      <c r="R514" s="267" t="str">
        <f>Tableau3453[[#This Row],[Solde 
ouverte
fm]]</f>
        <v/>
      </c>
      <c r="S51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5" spans="1:19" hidden="1" outlineLevel="1" x14ac:dyDescent="0.25">
      <c r="A515" s="268">
        <v>240621</v>
      </c>
      <c r="B515" s="239">
        <v>30</v>
      </c>
      <c r="C515" s="352" t="str">
        <f>IF(Tableau3453[[#This Row],[Date 
du paiement]]="",IF(Tableau3453[[#This Row],[Jours]]&gt;Tableau3453[[#This Row],[Conditions
pmt+]]+5,"oui",""),"")</f>
        <v/>
      </c>
      <c r="D515" s="262" t="s">
        <v>1288</v>
      </c>
      <c r="E515" s="240">
        <v>45509</v>
      </c>
      <c r="F515" s="263">
        <v>92</v>
      </c>
      <c r="G515" s="242" t="str">
        <f>IF(Tableau3453[[#This Row],[Date 
du paiement]]="",Tableau3453[[#This Row],[Montant
de la facture
CHF]],"")</f>
        <v/>
      </c>
      <c r="H515" s="243" t="s">
        <v>1751</v>
      </c>
      <c r="I515" s="245">
        <v>45510</v>
      </c>
      <c r="J515" s="246">
        <v>45602</v>
      </c>
      <c r="K515" s="247" t="s">
        <v>58</v>
      </c>
      <c r="L515" s="264">
        <v>5</v>
      </c>
      <c r="M515" s="265">
        <f>IF(Tableau3453[[#This Row],[Date 
du paiement]]="",$D$4-Tableau3453[[#This Row],[Date
de la facture]],Tableau3453[[#This Row],[Date 
du paiement]]-Tableau3453[[#This Row],[Date
de la facture]])</f>
        <v>93</v>
      </c>
      <c r="N515" s="263" t="str">
        <f>IF(Tableau3453[[#This Row],[Date 
du paiement]]="",IF(Tableau3453[[#This Row],[Jours]]&lt;30,Tableau3453[[#This Row],[Montant
de la facture
CHF]],""),"")</f>
        <v/>
      </c>
      <c r="O515" s="263" t="str">
        <f>IF(Tableau3453[[#This Row],[Date 
du paiement]]="",IF(Tableau3453[[#This Row],[Jours]]&gt;30,IF(Tableau3453[[#This Row],[Jours]]&lt;60,Tableau3453[[#This Row],[Montant
de la facture
CHF]],""),""),"")</f>
        <v/>
      </c>
      <c r="P515" s="263" t="str">
        <f>IF(Tableau3453[[#This Row],[Date 
du paiement]]="",IF(Tableau3453[[#This Row],[Jours]]&gt;60,Tableau3453[[#This Row],[Montant
de la facture
CHF]],""),"")</f>
        <v/>
      </c>
      <c r="Q515" s="266" t="s">
        <v>1686</v>
      </c>
      <c r="R515" s="267" t="str">
        <f>Tableau3453[[#This Row],[Solde 
ouverte
fm]]</f>
        <v/>
      </c>
      <c r="S51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6" spans="1:19" hidden="1" outlineLevel="1" x14ac:dyDescent="0.25">
      <c r="A516" s="380">
        <v>240765</v>
      </c>
      <c r="B516" s="408" t="s">
        <v>860</v>
      </c>
      <c r="C516" s="381" t="str">
        <f>IF(Tableau3453[[#This Row],[Date 
du paiement]]="",IF(Tableau3453[[#This Row],[Jours]]&gt;Tableau3453[[#This Row],[Conditions
pmt+]]+5,"oui",""),"")</f>
        <v/>
      </c>
      <c r="D516" s="382" t="s">
        <v>1342</v>
      </c>
      <c r="E516" s="383">
        <v>45531</v>
      </c>
      <c r="F516" s="384">
        <v>555.79999999999995</v>
      </c>
      <c r="G516" s="410" t="str">
        <f>IF(Tableau3453[[#This Row],[Date 
du paiement]]="",Tableau3453[[#This Row],[Montant
de la facture
CHF]],"")</f>
        <v/>
      </c>
      <c r="H516" s="411"/>
      <c r="I516" s="386">
        <v>45531</v>
      </c>
      <c r="J516" s="387">
        <v>45509</v>
      </c>
      <c r="K516" s="388" t="s">
        <v>58</v>
      </c>
      <c r="L516" s="389"/>
      <c r="M516" s="390">
        <f>IF(Tableau3453[[#This Row],[Date 
du paiement]]="",$D$4-Tableau3453[[#This Row],[Date
de la facture]],Tableau3453[[#This Row],[Date 
du paiement]]-Tableau3453[[#This Row],[Date
de la facture]])</f>
        <v>-22</v>
      </c>
      <c r="N516" s="384" t="str">
        <f>IF(Tableau3453[[#This Row],[Date 
du paiement]]="",IF(Tableau3453[[#This Row],[Jours]]&lt;30,Tableau3453[[#This Row],[Montant
de la facture
CHF]],""),"")</f>
        <v/>
      </c>
      <c r="O516" s="384" t="str">
        <f>IF(Tableau3453[[#This Row],[Date 
du paiement]]="",IF(Tableau3453[[#This Row],[Jours]]&gt;30,IF(Tableau3453[[#This Row],[Jours]]&lt;60,Tableau3453[[#This Row],[Montant
de la facture
CHF]],""),""),"")</f>
        <v/>
      </c>
      <c r="P516" s="384" t="str">
        <f>IF(Tableau3453[[#This Row],[Date 
du paiement]]="",IF(Tableau3453[[#This Row],[Jours]]&gt;60,Tableau3453[[#This Row],[Montant
de la facture
CHF]],""),"")</f>
        <v/>
      </c>
      <c r="Q516" s="416"/>
      <c r="R516" s="391" t="str">
        <f>Tableau3453[[#This Row],[Solde 
ouverte
fm]]</f>
        <v/>
      </c>
      <c r="S516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7" spans="1:19" hidden="1" outlineLevel="1" x14ac:dyDescent="0.25">
      <c r="A517" s="268">
        <v>240527</v>
      </c>
      <c r="B517" s="239">
        <v>30</v>
      </c>
      <c r="C517" s="352" t="str">
        <f>IF(Tableau3453[[#This Row],[Date 
du paiement]]="",IF(Tableau3453[[#This Row],[Jours]]&gt;Tableau3453[[#This Row],[Conditions
pmt+]]+5,"oui",""),"")</f>
        <v/>
      </c>
      <c r="D517" s="262" t="s">
        <v>863</v>
      </c>
      <c r="E517" s="240">
        <v>45495</v>
      </c>
      <c r="F517" s="263">
        <v>1917.85</v>
      </c>
      <c r="G517" s="242" t="str">
        <f>IF(Tableau3453[[#This Row],[Date 
du paiement]]="",Tableau3453[[#This Row],[Montant
de la facture
CHF]],"")</f>
        <v/>
      </c>
      <c r="H517" s="243"/>
      <c r="I517" s="245">
        <v>45496</v>
      </c>
      <c r="J517" s="246">
        <v>45527</v>
      </c>
      <c r="K517" s="247" t="s">
        <v>58</v>
      </c>
      <c r="L517" s="264"/>
      <c r="M517" s="265">
        <f>IF(Tableau3453[[#This Row],[Date 
du paiement]]="",$D$4-Tableau3453[[#This Row],[Date
de la facture]],Tableau3453[[#This Row],[Date 
du paiement]]-Tableau3453[[#This Row],[Date
de la facture]])</f>
        <v>32</v>
      </c>
      <c r="N517" s="263" t="str">
        <f>IF(Tableau3453[[#This Row],[Date 
du paiement]]="",IF(Tableau3453[[#This Row],[Jours]]&lt;30,Tableau3453[[#This Row],[Montant
de la facture
CHF]],""),"")</f>
        <v/>
      </c>
      <c r="O517" s="263" t="str">
        <f>IF(Tableau3453[[#This Row],[Date 
du paiement]]="",IF(Tableau3453[[#This Row],[Jours]]&gt;30,IF(Tableau3453[[#This Row],[Jours]]&lt;60,Tableau3453[[#This Row],[Montant
de la facture
CHF]],""),""),"")</f>
        <v/>
      </c>
      <c r="P517" s="263" t="str">
        <f>IF(Tableau3453[[#This Row],[Date 
du paiement]]="",IF(Tableau3453[[#This Row],[Jours]]&gt;60,Tableau3453[[#This Row],[Montant
de la facture
CHF]],""),"")</f>
        <v/>
      </c>
      <c r="Q517" s="266"/>
      <c r="R517" s="267" t="str">
        <f>Tableau3453[[#This Row],[Solde 
ouverte
fm]]</f>
        <v/>
      </c>
      <c r="S51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8" spans="1:19" hidden="1" outlineLevel="1" x14ac:dyDescent="0.25">
      <c r="A518" s="268">
        <v>240703</v>
      </c>
      <c r="B518" s="239">
        <v>30</v>
      </c>
      <c r="C518" s="352" t="str">
        <f>IF(Tableau3453[[#This Row],[Date 
du paiement]]="",IF(Tableau3453[[#This Row],[Jours]]&gt;Tableau3453[[#This Row],[Conditions
pmt+]]+5,"oui",""),"")</f>
        <v/>
      </c>
      <c r="D518" s="262" t="s">
        <v>869</v>
      </c>
      <c r="E518" s="240">
        <v>45484</v>
      </c>
      <c r="F518" s="263">
        <v>1031.6500000000001</v>
      </c>
      <c r="G518" s="242" t="str">
        <f>IF(Tableau3453[[#This Row],[Date 
du paiement]]="",Tableau3453[[#This Row],[Montant
de la facture
CHF]],"")</f>
        <v/>
      </c>
      <c r="H518" s="243"/>
      <c r="I518" s="245">
        <v>45485</v>
      </c>
      <c r="J518" s="246">
        <v>45547</v>
      </c>
      <c r="K518" s="247" t="s">
        <v>58</v>
      </c>
      <c r="L518" s="264">
        <v>4</v>
      </c>
      <c r="M518" s="265">
        <f>IF(Tableau3453[[#This Row],[Date 
du paiement]]="",$D$4-Tableau3453[[#This Row],[Date
de la facture]],Tableau3453[[#This Row],[Date 
du paiement]]-Tableau3453[[#This Row],[Date
de la facture]])</f>
        <v>63</v>
      </c>
      <c r="N518" s="263" t="str">
        <f>IF(Tableau3453[[#This Row],[Date 
du paiement]]="",IF(Tableau3453[[#This Row],[Jours]]&lt;30,Tableau3453[[#This Row],[Montant
de la facture
CHF]],""),"")</f>
        <v/>
      </c>
      <c r="O518" s="263" t="str">
        <f>IF(Tableau3453[[#This Row],[Date 
du paiement]]="",IF(Tableau3453[[#This Row],[Jours]]&gt;30,IF(Tableau3453[[#This Row],[Jours]]&lt;60,Tableau3453[[#This Row],[Montant
de la facture
CHF]],""),""),"")</f>
        <v/>
      </c>
      <c r="P518" s="263" t="str">
        <f>IF(Tableau3453[[#This Row],[Date 
du paiement]]="",IF(Tableau3453[[#This Row],[Jours]]&gt;60,Tableau3453[[#This Row],[Montant
de la facture
CHF]],""),"")</f>
        <v/>
      </c>
      <c r="Q518" s="266"/>
      <c r="R518" s="267" t="str">
        <f>Tableau3453[[#This Row],[Solde 
ouverte
fm]]</f>
        <v/>
      </c>
      <c r="S5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19" spans="1:19" hidden="1" outlineLevel="1" x14ac:dyDescent="0.25">
      <c r="A519" s="268">
        <v>240802</v>
      </c>
      <c r="B519" s="239">
        <v>60</v>
      </c>
      <c r="C519" s="352" t="str">
        <f>IF(Tableau3453[[#This Row],[Date 
du paiement]]="",IF(Tableau3453[[#This Row],[Jours]]&gt;Tableau3453[[#This Row],[Conditions
pmt+]]+5,"oui",""),"")</f>
        <v/>
      </c>
      <c r="D519" s="262" t="s">
        <v>1392</v>
      </c>
      <c r="E519" s="240">
        <v>45527</v>
      </c>
      <c r="F519" s="263">
        <v>1121.45</v>
      </c>
      <c r="G519" s="242" t="str">
        <f>IF(Tableau3453[[#This Row],[Date 
du paiement]]="",Tableau3453[[#This Row],[Montant
de la facture
CHF]],"")</f>
        <v/>
      </c>
      <c r="H519" s="243"/>
      <c r="I519" s="245">
        <v>45530</v>
      </c>
      <c r="J519" s="246">
        <v>45601</v>
      </c>
      <c r="K519" s="247" t="s">
        <v>58</v>
      </c>
      <c r="L519" s="264">
        <v>1</v>
      </c>
      <c r="M519" s="265">
        <f>IF(Tableau3453[[#This Row],[Date 
du paiement]]="",$D$4-Tableau3453[[#This Row],[Date
de la facture]],Tableau3453[[#This Row],[Date 
du paiement]]-Tableau3453[[#This Row],[Date
de la facture]])</f>
        <v>74</v>
      </c>
      <c r="N519" s="263" t="str">
        <f>IF(Tableau3453[[#This Row],[Date 
du paiement]]="",IF(Tableau3453[[#This Row],[Jours]]&lt;30,Tableau3453[[#This Row],[Montant
de la facture
CHF]],""),"")</f>
        <v/>
      </c>
      <c r="O519" s="263" t="str">
        <f>IF(Tableau3453[[#This Row],[Date 
du paiement]]="",IF(Tableau3453[[#This Row],[Jours]]&gt;30,IF(Tableau3453[[#This Row],[Jours]]&lt;60,Tableau3453[[#This Row],[Montant
de la facture
CHF]],""),""),"")</f>
        <v/>
      </c>
      <c r="P519" s="263" t="str">
        <f>IF(Tableau3453[[#This Row],[Date 
du paiement]]="",IF(Tableau3453[[#This Row],[Jours]]&gt;60,Tableau3453[[#This Row],[Montant
de la facture
CHF]],""),"")</f>
        <v/>
      </c>
      <c r="Q519" s="266"/>
      <c r="R519" s="267" t="str">
        <f>Tableau3453[[#This Row],[Solde 
ouverte
fm]]</f>
        <v/>
      </c>
      <c r="S5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0" spans="1:19" hidden="1" outlineLevel="1" x14ac:dyDescent="0.25">
      <c r="A520" s="380">
        <v>240625</v>
      </c>
      <c r="B520" s="408">
        <v>30</v>
      </c>
      <c r="C520" s="381" t="str">
        <f>IF(Tableau3453[[#This Row],[Date 
du paiement]]="",IF(Tableau3453[[#This Row],[Jours]]&gt;Tableau3453[[#This Row],[Conditions
pmt+]]+5,"oui",""),"")</f>
        <v/>
      </c>
      <c r="D520" s="382" t="s">
        <v>880</v>
      </c>
      <c r="E520" s="383">
        <v>45497</v>
      </c>
      <c r="F520" s="384">
        <v>6673.6</v>
      </c>
      <c r="G520" s="410" t="str">
        <f>IF(Tableau3453[[#This Row],[Date 
du paiement]]="",Tableau3453[[#This Row],[Montant
de la facture
CHF]],"")</f>
        <v/>
      </c>
      <c r="H520" s="411"/>
      <c r="I520" s="386">
        <v>45498</v>
      </c>
      <c r="J520" s="387">
        <v>45520</v>
      </c>
      <c r="K520" s="388" t="s">
        <v>58</v>
      </c>
      <c r="L520" s="389"/>
      <c r="M520" s="390">
        <f>IF(Tableau3453[[#This Row],[Date 
du paiement]]="",$D$4-Tableau3453[[#This Row],[Date
de la facture]],Tableau3453[[#This Row],[Date 
du paiement]]-Tableau3453[[#This Row],[Date
de la facture]])</f>
        <v>23</v>
      </c>
      <c r="N520" s="384" t="str">
        <f>IF(Tableau3453[[#This Row],[Date 
du paiement]]="",IF(Tableau3453[[#This Row],[Jours]]&lt;30,Tableau3453[[#This Row],[Montant
de la facture
CHF]],""),"")</f>
        <v/>
      </c>
      <c r="O520" s="384" t="str">
        <f>IF(Tableau3453[[#This Row],[Date 
du paiement]]="",IF(Tableau3453[[#This Row],[Jours]]&gt;30,IF(Tableau3453[[#This Row],[Jours]]&lt;60,Tableau3453[[#This Row],[Montant
de la facture
CHF]],""),""),"")</f>
        <v/>
      </c>
      <c r="P520" s="384" t="str">
        <f>IF(Tableau3453[[#This Row],[Date 
du paiement]]="",IF(Tableau3453[[#This Row],[Jours]]&gt;60,Tableau3453[[#This Row],[Montant
de la facture
CHF]],""),"")</f>
        <v/>
      </c>
      <c r="Q520" s="416"/>
      <c r="R520" s="391" t="str">
        <f>Tableau3453[[#This Row],[Solde 
ouverte
fm]]</f>
        <v/>
      </c>
      <c r="S520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1" spans="1:19" hidden="1" outlineLevel="1" x14ac:dyDescent="0.25">
      <c r="A521" s="268">
        <v>240721</v>
      </c>
      <c r="B521" s="239">
        <v>30</v>
      </c>
      <c r="C521" s="352" t="str">
        <f>IF(Tableau3453[[#This Row],[Date 
du paiement]]="",IF(Tableau3453[[#This Row],[Jours]]&gt;Tableau3453[[#This Row],[Conditions
pmt+]]+5,"oui",""),"")</f>
        <v/>
      </c>
      <c r="D521" s="262" t="s">
        <v>899</v>
      </c>
      <c r="E521" s="240">
        <v>45497</v>
      </c>
      <c r="F521" s="263">
        <v>138.19999999999999</v>
      </c>
      <c r="G521" s="242" t="str">
        <f>IF(Tableau3453[[#This Row],[Date 
du paiement]]="",Tableau3453[[#This Row],[Montant
de la facture
CHF]],"")</f>
        <v/>
      </c>
      <c r="H521" s="243"/>
      <c r="I521" s="245">
        <v>45498</v>
      </c>
      <c r="J521" s="246">
        <v>45524</v>
      </c>
      <c r="K521" s="247" t="s">
        <v>58</v>
      </c>
      <c r="L521" s="264"/>
      <c r="M521" s="265">
        <f>IF(Tableau3453[[#This Row],[Date 
du paiement]]="",$D$4-Tableau3453[[#This Row],[Date
de la facture]],Tableau3453[[#This Row],[Date 
du paiement]]-Tableau3453[[#This Row],[Date
de la facture]])</f>
        <v>27</v>
      </c>
      <c r="N521" s="263" t="str">
        <f>IF(Tableau3453[[#This Row],[Date 
du paiement]]="",IF(Tableau3453[[#This Row],[Jours]]&lt;30,Tableau3453[[#This Row],[Montant
de la facture
CHF]],""),"")</f>
        <v/>
      </c>
      <c r="O521" s="263" t="str">
        <f>IF(Tableau3453[[#This Row],[Date 
du paiement]]="",IF(Tableau3453[[#This Row],[Jours]]&gt;30,IF(Tableau3453[[#This Row],[Jours]]&lt;60,Tableau3453[[#This Row],[Montant
de la facture
CHF]],""),""),"")</f>
        <v/>
      </c>
      <c r="P521" s="263" t="str">
        <f>IF(Tableau3453[[#This Row],[Date 
du paiement]]="",IF(Tableau3453[[#This Row],[Jours]]&gt;60,Tableau3453[[#This Row],[Montant
de la facture
CHF]],""),"")</f>
        <v/>
      </c>
      <c r="Q521" s="266"/>
      <c r="R521" s="267" t="str">
        <f>Tableau3453[[#This Row],[Solde 
ouverte
fm]]</f>
        <v/>
      </c>
      <c r="S5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2" spans="1:19" hidden="1" outlineLevel="1" x14ac:dyDescent="0.25">
      <c r="A522" s="268">
        <v>240730</v>
      </c>
      <c r="B522" s="239">
        <v>30</v>
      </c>
      <c r="C522" s="352" t="str">
        <f>IF(Tableau3453[[#This Row],[Date 
du paiement]]="",IF(Tableau3453[[#This Row],[Jours]]&gt;Tableau3453[[#This Row],[Conditions
pmt+]]+5,"oui",""),"")</f>
        <v/>
      </c>
      <c r="D522" s="262" t="s">
        <v>899</v>
      </c>
      <c r="E522" s="240">
        <v>45497</v>
      </c>
      <c r="F522" s="263">
        <v>1618.25</v>
      </c>
      <c r="G522" s="242" t="str">
        <f>IF(Tableau3453[[#This Row],[Date 
du paiement]]="",Tableau3453[[#This Row],[Montant
de la facture
CHF]],"")</f>
        <v/>
      </c>
      <c r="H522" s="243"/>
      <c r="I522" s="245">
        <v>45498</v>
      </c>
      <c r="J522" s="246">
        <v>45524</v>
      </c>
      <c r="K522" s="247" t="s">
        <v>58</v>
      </c>
      <c r="L522" s="264"/>
      <c r="M522" s="265">
        <f>IF(Tableau3453[[#This Row],[Date 
du paiement]]="",$D$4-Tableau3453[[#This Row],[Date
de la facture]],Tableau3453[[#This Row],[Date 
du paiement]]-Tableau3453[[#This Row],[Date
de la facture]])</f>
        <v>27</v>
      </c>
      <c r="N522" s="263" t="str">
        <f>IF(Tableau3453[[#This Row],[Date 
du paiement]]="",IF(Tableau3453[[#This Row],[Jours]]&lt;30,Tableau3453[[#This Row],[Montant
de la facture
CHF]],""),"")</f>
        <v/>
      </c>
      <c r="O522" s="263" t="str">
        <f>IF(Tableau3453[[#This Row],[Date 
du paiement]]="",IF(Tableau3453[[#This Row],[Jours]]&gt;30,IF(Tableau3453[[#This Row],[Jours]]&lt;60,Tableau3453[[#This Row],[Montant
de la facture
CHF]],""),""),"")</f>
        <v/>
      </c>
      <c r="P522" s="263" t="str">
        <f>IF(Tableau3453[[#This Row],[Date 
du paiement]]="",IF(Tableau3453[[#This Row],[Jours]]&gt;60,Tableau3453[[#This Row],[Montant
de la facture
CHF]],""),"")</f>
        <v/>
      </c>
      <c r="Q522" s="266"/>
      <c r="R522" s="267" t="str">
        <f>Tableau3453[[#This Row],[Solde 
ouverte
fm]]</f>
        <v/>
      </c>
      <c r="S5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3" spans="1:19" hidden="1" outlineLevel="1" x14ac:dyDescent="0.25">
      <c r="A523" s="268">
        <v>240612</v>
      </c>
      <c r="B523" s="239">
        <v>30</v>
      </c>
      <c r="C523" s="352" t="str">
        <f>IF(Tableau3453[[#This Row],[Date 
du paiement]]="",IF(Tableau3453[[#This Row],[Jours]]&gt;Tableau3453[[#This Row],[Conditions
pmt+]]+5,"oui",""),"")</f>
        <v/>
      </c>
      <c r="D523" s="262" t="s">
        <v>867</v>
      </c>
      <c r="E523" s="240">
        <v>45483</v>
      </c>
      <c r="F523" s="263">
        <v>803.85</v>
      </c>
      <c r="G523" s="242" t="str">
        <f>IF(Tableau3453[[#This Row],[Date 
du paiement]]="",Tableau3453[[#This Row],[Montant
de la facture
CHF]],"")</f>
        <v/>
      </c>
      <c r="H523" s="243" t="s">
        <v>1403</v>
      </c>
      <c r="I523" s="245">
        <v>45485</v>
      </c>
      <c r="J523" s="246">
        <v>45534</v>
      </c>
      <c r="K523" s="247" t="s">
        <v>58</v>
      </c>
      <c r="L523" s="264">
        <v>2</v>
      </c>
      <c r="M523" s="265">
        <f>IF(Tableau3453[[#This Row],[Date 
du paiement]]="",$D$4-Tableau3453[[#This Row],[Date
de la facture]],Tableau3453[[#This Row],[Date 
du paiement]]-Tableau3453[[#This Row],[Date
de la facture]])</f>
        <v>51</v>
      </c>
      <c r="N523" s="263" t="str">
        <f>IF(Tableau3453[[#This Row],[Date 
du paiement]]="",IF(Tableau3453[[#This Row],[Jours]]&lt;30,Tableau3453[[#This Row],[Montant
de la facture
CHF]],""),"")</f>
        <v/>
      </c>
      <c r="O523" s="263" t="str">
        <f>IF(Tableau3453[[#This Row],[Date 
du paiement]]="",IF(Tableau3453[[#This Row],[Jours]]&gt;30,IF(Tableau3453[[#This Row],[Jours]]&lt;60,Tableau3453[[#This Row],[Montant
de la facture
CHF]],""),""),"")</f>
        <v/>
      </c>
      <c r="P523" s="263" t="str">
        <f>IF(Tableau3453[[#This Row],[Date 
du paiement]]="",IF(Tableau3453[[#This Row],[Jours]]&gt;60,Tableau3453[[#This Row],[Montant
de la facture
CHF]],""),"")</f>
        <v/>
      </c>
      <c r="Q523" s="266"/>
      <c r="R523" s="267" t="str">
        <f>Tableau3453[[#This Row],[Solde 
ouverte
fm]]</f>
        <v/>
      </c>
      <c r="S5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4" spans="1:19" hidden="1" outlineLevel="1" x14ac:dyDescent="0.25">
      <c r="A524" s="268">
        <v>240780</v>
      </c>
      <c r="B524" s="239" t="s">
        <v>860</v>
      </c>
      <c r="C524" s="352" t="str">
        <f>IF(Tableau3453[[#This Row],[Date 
du paiement]]="",IF(Tableau3453[[#This Row],[Jours]]&gt;Tableau3453[[#This Row],[Conditions
pmt+]]+5,"oui",""),"")</f>
        <v/>
      </c>
      <c r="D524" s="251" t="s">
        <v>1016</v>
      </c>
      <c r="E524" s="240">
        <v>45518</v>
      </c>
      <c r="F524" s="263">
        <v>396.65</v>
      </c>
      <c r="G524" s="242" t="str">
        <f>IF(Tableau3453[[#This Row],[Date 
du paiement]]="",Tableau3453[[#This Row],[Montant
de la facture
CHF]],"")</f>
        <v/>
      </c>
      <c r="H524" s="243"/>
      <c r="I524" s="245">
        <v>45520</v>
      </c>
      <c r="J524" s="246">
        <v>45546</v>
      </c>
      <c r="K524" s="247" t="s">
        <v>58</v>
      </c>
      <c r="L524" s="264"/>
      <c r="M524" s="265">
        <f>IF(Tableau3453[[#This Row],[Date 
du paiement]]="",$D$4-Tableau3453[[#This Row],[Date
de la facture]],Tableau3453[[#This Row],[Date 
du paiement]]-Tableau3453[[#This Row],[Date
de la facture]])</f>
        <v>28</v>
      </c>
      <c r="N524" s="263" t="str">
        <f>IF(Tableau3453[[#This Row],[Date 
du paiement]]="",IF(Tableau3453[[#This Row],[Jours]]&lt;30,Tableau3453[[#This Row],[Montant
de la facture
CHF]],""),"")</f>
        <v/>
      </c>
      <c r="O524" s="263" t="str">
        <f>IF(Tableau3453[[#This Row],[Date 
du paiement]]="",IF(Tableau3453[[#This Row],[Jours]]&gt;30,IF(Tableau3453[[#This Row],[Jours]]&lt;60,Tableau3453[[#This Row],[Montant
de la facture
CHF]],""),""),"")</f>
        <v/>
      </c>
      <c r="P524" s="263" t="str">
        <f>IF(Tableau3453[[#This Row],[Date 
du paiement]]="",IF(Tableau3453[[#This Row],[Jours]]&gt;60,Tableau3453[[#This Row],[Montant
de la facture
CHF]],""),"")</f>
        <v/>
      </c>
      <c r="Q524" s="266"/>
      <c r="R524" s="267" t="str">
        <f>Tableau3453[[#This Row],[Solde 
ouverte
fm]]</f>
        <v/>
      </c>
      <c r="S5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5" spans="1:19" hidden="1" outlineLevel="1" x14ac:dyDescent="0.25">
      <c r="A525" s="268">
        <v>240754</v>
      </c>
      <c r="B525" s="239">
        <v>30</v>
      </c>
      <c r="C525" s="352" t="str">
        <f>IF(Tableau3453[[#This Row],[Date 
du paiement]]="",IF(Tableau3453[[#This Row],[Jours]]&gt;Tableau3453[[#This Row],[Conditions
pmt+]]+5,"oui",""),"")</f>
        <v/>
      </c>
      <c r="D525" s="262" t="s">
        <v>1182</v>
      </c>
      <c r="E525" s="240">
        <v>45504</v>
      </c>
      <c r="F525" s="263">
        <v>652.9</v>
      </c>
      <c r="G525" s="242" t="str">
        <f>IF(Tableau3453[[#This Row],[Date 
du paiement]]="",Tableau3453[[#This Row],[Montant
de la facture
CHF]],"")</f>
        <v/>
      </c>
      <c r="H525" s="243"/>
      <c r="I525" s="245">
        <v>45510</v>
      </c>
      <c r="J525" s="246">
        <v>45562</v>
      </c>
      <c r="K525" s="247" t="s">
        <v>58</v>
      </c>
      <c r="L525" s="264">
        <v>1</v>
      </c>
      <c r="M525" s="265">
        <f>IF(Tableau3453[[#This Row],[Date 
du paiement]]="",$D$4-Tableau3453[[#This Row],[Date
de la facture]],Tableau3453[[#This Row],[Date 
du paiement]]-Tableau3453[[#This Row],[Date
de la facture]])</f>
        <v>58</v>
      </c>
      <c r="N525" s="263" t="str">
        <f>IF(Tableau3453[[#This Row],[Date 
du paiement]]="",IF(Tableau3453[[#This Row],[Jours]]&lt;30,Tableau3453[[#This Row],[Montant
de la facture
CHF]],""),"")</f>
        <v/>
      </c>
      <c r="O525" s="263" t="str">
        <f>IF(Tableau3453[[#This Row],[Date 
du paiement]]="",IF(Tableau3453[[#This Row],[Jours]]&gt;30,IF(Tableau3453[[#This Row],[Jours]]&lt;60,Tableau3453[[#This Row],[Montant
de la facture
CHF]],""),""),"")</f>
        <v/>
      </c>
      <c r="P525" s="263" t="str">
        <f>IF(Tableau3453[[#This Row],[Date 
du paiement]]="",IF(Tableau3453[[#This Row],[Jours]]&gt;60,Tableau3453[[#This Row],[Montant
de la facture
CHF]],""),"")</f>
        <v/>
      </c>
      <c r="Q525" s="266"/>
      <c r="R525" s="267" t="str">
        <f>Tableau3453[[#This Row],[Solde 
ouverte
fm]]</f>
        <v/>
      </c>
      <c r="S52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6" spans="1:19" hidden="1" outlineLevel="1" x14ac:dyDescent="0.25">
      <c r="A526" s="268">
        <v>240423</v>
      </c>
      <c r="B526" s="239" t="s">
        <v>857</v>
      </c>
      <c r="C526" s="352" t="str">
        <f>IF(Tableau3453[[#This Row],[Date 
du paiement]]="",IF(Tableau3453[[#This Row],[Jours]]&gt;Tableau3453[[#This Row],[Conditions
pmt+]]+5,"oui",""),"")</f>
        <v/>
      </c>
      <c r="D526" s="262" t="s">
        <v>865</v>
      </c>
      <c r="E526" s="240">
        <v>45481</v>
      </c>
      <c r="F526" s="263">
        <v>322.89999999999998</v>
      </c>
      <c r="G526" s="242" t="str">
        <f>IF(Tableau3453[[#This Row],[Date 
du paiement]]="",Tableau3453[[#This Row],[Montant
de la facture
CHF]],"")</f>
        <v/>
      </c>
      <c r="H526" s="243"/>
      <c r="I526" s="245">
        <v>45483</v>
      </c>
      <c r="J526" s="246">
        <v>45540</v>
      </c>
      <c r="K526" s="247" t="s">
        <v>58</v>
      </c>
      <c r="L526" s="264"/>
      <c r="M526" s="265">
        <f>IF(Tableau3453[[#This Row],[Date 
du paiement]]="",$D$4-Tableau3453[[#This Row],[Date
de la facture]],Tableau3453[[#This Row],[Date 
du paiement]]-Tableau3453[[#This Row],[Date
de la facture]])</f>
        <v>59</v>
      </c>
      <c r="N526" s="263" t="str">
        <f>IF(Tableau3453[[#This Row],[Date 
du paiement]]="",IF(Tableau3453[[#This Row],[Jours]]&lt;30,Tableau3453[[#This Row],[Montant
de la facture
CHF]],""),"")</f>
        <v/>
      </c>
      <c r="O526" s="263" t="str">
        <f>IF(Tableau3453[[#This Row],[Date 
du paiement]]="",IF(Tableau3453[[#This Row],[Jours]]&gt;30,IF(Tableau3453[[#This Row],[Jours]]&lt;60,Tableau3453[[#This Row],[Montant
de la facture
CHF]],""),""),"")</f>
        <v/>
      </c>
      <c r="P526" s="263" t="str">
        <f>IF(Tableau3453[[#This Row],[Date 
du paiement]]="",IF(Tableau3453[[#This Row],[Jours]]&gt;60,Tableau3453[[#This Row],[Montant
de la facture
CHF]],""),"")</f>
        <v/>
      </c>
      <c r="Q526" s="266"/>
      <c r="R526" s="267" t="str">
        <f>Tableau3453[[#This Row],[Solde 
ouverte
fm]]</f>
        <v/>
      </c>
      <c r="S5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7" spans="1:19" hidden="1" outlineLevel="1" x14ac:dyDescent="0.25">
      <c r="A527" s="268">
        <v>240458</v>
      </c>
      <c r="B527" s="239">
        <v>30</v>
      </c>
      <c r="C527" s="352" t="str">
        <f>IF(Tableau3453[[#This Row],[Date 
du paiement]]="",IF(Tableau3453[[#This Row],[Jours]]&gt;Tableau3453[[#This Row],[Conditions
pmt+]]+5,"oui",""),"")</f>
        <v/>
      </c>
      <c r="D527" s="262" t="s">
        <v>1014</v>
      </c>
      <c r="E527" s="240">
        <v>45498</v>
      </c>
      <c r="F527" s="263">
        <v>12838.7</v>
      </c>
      <c r="G527" s="242" t="str">
        <f>IF(Tableau3453[[#This Row],[Date 
du paiement]]="",Tableau3453[[#This Row],[Montant
de la facture
CHF]],"")</f>
        <v/>
      </c>
      <c r="H527" s="243"/>
      <c r="I527" s="245">
        <v>45498</v>
      </c>
      <c r="J527" s="246">
        <v>45520</v>
      </c>
      <c r="K527" s="247" t="s">
        <v>58</v>
      </c>
      <c r="L527" s="264"/>
      <c r="M527" s="265">
        <f>IF(Tableau3453[[#This Row],[Date 
du paiement]]="",$D$4-Tableau3453[[#This Row],[Date
de la facture]],Tableau3453[[#This Row],[Date 
du paiement]]-Tableau3453[[#This Row],[Date
de la facture]])</f>
        <v>22</v>
      </c>
      <c r="N527" s="263" t="str">
        <f>IF(Tableau3453[[#This Row],[Date 
du paiement]]="",IF(Tableau3453[[#This Row],[Jours]]&lt;30,Tableau3453[[#This Row],[Montant
de la facture
CHF]],""),"")</f>
        <v/>
      </c>
      <c r="O527" s="263" t="str">
        <f>IF(Tableau3453[[#This Row],[Date 
du paiement]]="",IF(Tableau3453[[#This Row],[Jours]]&gt;30,IF(Tableau3453[[#This Row],[Jours]]&lt;60,Tableau3453[[#This Row],[Montant
de la facture
CHF]],""),""),"")</f>
        <v/>
      </c>
      <c r="P527" s="263" t="str">
        <f>IF(Tableau3453[[#This Row],[Date 
du paiement]]="",IF(Tableau3453[[#This Row],[Jours]]&gt;60,Tableau3453[[#This Row],[Montant
de la facture
CHF]],""),"")</f>
        <v/>
      </c>
      <c r="Q527" s="266"/>
      <c r="R527" s="267" t="str">
        <f>Tableau3453[[#This Row],[Solde 
ouverte
fm]]</f>
        <v/>
      </c>
      <c r="S5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8" spans="1:19" hidden="1" outlineLevel="1" x14ac:dyDescent="0.25">
      <c r="A528" s="268">
        <v>240582</v>
      </c>
      <c r="B528" s="239" t="s">
        <v>860</v>
      </c>
      <c r="C528" s="352" t="str">
        <f>IF(Tableau3453[[#This Row],[Date 
du paiement]]="",IF(Tableau3453[[#This Row],[Jours]]&gt;Tableau3453[[#This Row],[Conditions
pmt+]]+5,"oui",""),"")</f>
        <v/>
      </c>
      <c r="D528" s="262" t="s">
        <v>909</v>
      </c>
      <c r="E528" s="240">
        <v>45474</v>
      </c>
      <c r="F528" s="263">
        <v>2342.8000000000002</v>
      </c>
      <c r="G528" s="242" t="str">
        <f>IF(Tableau3453[[#This Row],[Date 
du paiement]]="",Tableau3453[[#This Row],[Montant
de la facture
CHF]],"")</f>
        <v/>
      </c>
      <c r="H528" s="243"/>
      <c r="I528" s="245">
        <v>45475</v>
      </c>
      <c r="J528" s="246">
        <v>45517</v>
      </c>
      <c r="K528" s="247" t="s">
        <v>58</v>
      </c>
      <c r="L528" s="264">
        <v>1</v>
      </c>
      <c r="M528" s="265">
        <f>IF(Tableau3453[[#This Row],[Date 
du paiement]]="",$D$4-Tableau3453[[#This Row],[Date
de la facture]],Tableau3453[[#This Row],[Date 
du paiement]]-Tableau3453[[#This Row],[Date
de la facture]])</f>
        <v>43</v>
      </c>
      <c r="N528" s="263" t="str">
        <f>IF(Tableau3453[[#This Row],[Date 
du paiement]]="",IF(Tableau3453[[#This Row],[Jours]]&lt;30,Tableau3453[[#This Row],[Montant
de la facture
CHF]],""),"")</f>
        <v/>
      </c>
      <c r="O528" s="263" t="str">
        <f>IF(Tableau3453[[#This Row],[Date 
du paiement]]="",IF(Tableau3453[[#This Row],[Jours]]&gt;30,IF(Tableau3453[[#This Row],[Jours]]&lt;60,Tableau3453[[#This Row],[Montant
de la facture
CHF]],""),""),"")</f>
        <v/>
      </c>
      <c r="P528" s="263" t="str">
        <f>IF(Tableau3453[[#This Row],[Date 
du paiement]]="",IF(Tableau3453[[#This Row],[Jours]]&gt;60,Tableau3453[[#This Row],[Montant
de la facture
CHF]],""),"")</f>
        <v/>
      </c>
      <c r="Q528" s="266"/>
      <c r="R528" s="267" t="str">
        <f>Tableau3453[[#This Row],[Solde 
ouverte
fm]]</f>
        <v/>
      </c>
      <c r="S5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29" spans="1:19" hidden="1" outlineLevel="1" x14ac:dyDescent="0.25">
      <c r="A529" s="268">
        <v>240731</v>
      </c>
      <c r="B529" s="239">
        <v>30</v>
      </c>
      <c r="C529" s="352" t="str">
        <f>IF(Tableau3453[[#This Row],[Date 
du paiement]]="",IF(Tableau3453[[#This Row],[Jours]]&gt;Tableau3453[[#This Row],[Conditions
pmt+]]+5,"oui",""),"")</f>
        <v/>
      </c>
      <c r="D529" s="262" t="s">
        <v>941</v>
      </c>
      <c r="E529" s="240">
        <v>45498</v>
      </c>
      <c r="F529" s="263">
        <v>5544.9</v>
      </c>
      <c r="G529" s="242" t="str">
        <f>IF(Tableau3453[[#This Row],[Date 
du paiement]]="",Tableau3453[[#This Row],[Montant
de la facture
CHF]],"")</f>
        <v/>
      </c>
      <c r="H529" s="243"/>
      <c r="I529" s="245">
        <v>45498</v>
      </c>
      <c r="J529" s="246">
        <v>45509</v>
      </c>
      <c r="K529" s="247" t="s">
        <v>58</v>
      </c>
      <c r="L529" s="264"/>
      <c r="M529" s="265">
        <f>IF(Tableau3453[[#This Row],[Date 
du paiement]]="",$D$4-Tableau3453[[#This Row],[Date
de la facture]],Tableau3453[[#This Row],[Date 
du paiement]]-Tableau3453[[#This Row],[Date
de la facture]])</f>
        <v>11</v>
      </c>
      <c r="N529" s="263" t="str">
        <f>IF(Tableau3453[[#This Row],[Date 
du paiement]]="",IF(Tableau3453[[#This Row],[Jours]]&lt;30,Tableau3453[[#This Row],[Montant
de la facture
CHF]],""),"")</f>
        <v/>
      </c>
      <c r="O529" s="263" t="str">
        <f>IF(Tableau3453[[#This Row],[Date 
du paiement]]="",IF(Tableau3453[[#This Row],[Jours]]&gt;30,IF(Tableau3453[[#This Row],[Jours]]&lt;60,Tableau3453[[#This Row],[Montant
de la facture
CHF]],""),""),"")</f>
        <v/>
      </c>
      <c r="P529" s="263" t="str">
        <f>IF(Tableau3453[[#This Row],[Date 
du paiement]]="",IF(Tableau3453[[#This Row],[Jours]]&gt;60,Tableau3453[[#This Row],[Montant
de la facture
CHF]],""),"")</f>
        <v/>
      </c>
      <c r="Q529" s="266"/>
      <c r="R529" s="267" t="str">
        <f>Tableau3453[[#This Row],[Solde 
ouverte
fm]]</f>
        <v/>
      </c>
      <c r="S52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0" spans="1:19" hidden="1" outlineLevel="1" x14ac:dyDescent="0.25">
      <c r="A530" s="268">
        <v>240782</v>
      </c>
      <c r="B530" s="239" t="s">
        <v>857</v>
      </c>
      <c r="C530" s="352" t="str">
        <f>IF(Tableau3453[[#This Row],[Date 
du paiement]]="",IF(Tableau3453[[#This Row],[Jours]]&gt;Tableau3453[[#This Row],[Conditions
pmt+]]+5,"oui",""),"")</f>
        <v/>
      </c>
      <c r="D530" s="262" t="s">
        <v>916</v>
      </c>
      <c r="E530" s="240">
        <v>45520</v>
      </c>
      <c r="F530" s="263">
        <v>1735.3</v>
      </c>
      <c r="G530" s="242" t="str">
        <f>IF(Tableau3453[[#This Row],[Date 
du paiement]]="",Tableau3453[[#This Row],[Montant
de la facture
CHF]],"")</f>
        <v/>
      </c>
      <c r="H530" s="243"/>
      <c r="I530" s="245">
        <v>45523</v>
      </c>
      <c r="J530" s="246">
        <v>45579</v>
      </c>
      <c r="K530" s="247" t="s">
        <v>58</v>
      </c>
      <c r="L530" s="264"/>
      <c r="M530" s="265">
        <f>IF(Tableau3453[[#This Row],[Date 
du paiement]]="",$D$4-Tableau3453[[#This Row],[Date
de la facture]],Tableau3453[[#This Row],[Date 
du paiement]]-Tableau3453[[#This Row],[Date
de la facture]])</f>
        <v>59</v>
      </c>
      <c r="N530" s="263" t="str">
        <f>IF(Tableau3453[[#This Row],[Date 
du paiement]]="",IF(Tableau3453[[#This Row],[Jours]]&lt;30,Tableau3453[[#This Row],[Montant
de la facture
CHF]],""),"")</f>
        <v/>
      </c>
      <c r="O530" s="263" t="str">
        <f>IF(Tableau3453[[#This Row],[Date 
du paiement]]="",IF(Tableau3453[[#This Row],[Jours]]&gt;30,IF(Tableau3453[[#This Row],[Jours]]&lt;60,Tableau3453[[#This Row],[Montant
de la facture
CHF]],""),""),"")</f>
        <v/>
      </c>
      <c r="P530" s="263" t="str">
        <f>IF(Tableau3453[[#This Row],[Date 
du paiement]]="",IF(Tableau3453[[#This Row],[Jours]]&gt;60,Tableau3453[[#This Row],[Montant
de la facture
CHF]],""),"")</f>
        <v/>
      </c>
      <c r="Q530" s="266"/>
      <c r="R530" s="267" t="str">
        <f>Tableau3453[[#This Row],[Solde 
ouverte
fm]]</f>
        <v/>
      </c>
      <c r="S5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1" spans="1:19" hidden="1" outlineLevel="1" x14ac:dyDescent="0.25">
      <c r="A531" s="268">
        <v>240713</v>
      </c>
      <c r="B531" s="239">
        <v>30</v>
      </c>
      <c r="C531" s="352" t="str">
        <f>IF(Tableau3453[[#This Row],[Date 
du paiement]]="",IF(Tableau3453[[#This Row],[Jours]]&gt;Tableau3453[[#This Row],[Conditions
pmt+]]+5,"oui",""),"")</f>
        <v/>
      </c>
      <c r="D531" s="262" t="s">
        <v>927</v>
      </c>
      <c r="E531" s="240">
        <v>45489</v>
      </c>
      <c r="F531" s="263">
        <v>491.25</v>
      </c>
      <c r="G531" s="242" t="str">
        <f>IF(Tableau3453[[#This Row],[Date 
du paiement]]="",Tableau3453[[#This Row],[Montant
de la facture
CHF]],"")</f>
        <v/>
      </c>
      <c r="H531" s="243"/>
      <c r="I531" s="245">
        <v>45489</v>
      </c>
      <c r="J531" s="246">
        <v>45518</v>
      </c>
      <c r="K531" s="247" t="s">
        <v>58</v>
      </c>
      <c r="L531" s="264"/>
      <c r="M531" s="265">
        <f>IF(Tableau3453[[#This Row],[Date 
du paiement]]="",$D$4-Tableau3453[[#This Row],[Date
de la facture]],Tableau3453[[#This Row],[Date 
du paiement]]-Tableau3453[[#This Row],[Date
de la facture]])</f>
        <v>29</v>
      </c>
      <c r="N531" s="263" t="str">
        <f>IF(Tableau3453[[#This Row],[Date 
du paiement]]="",IF(Tableau3453[[#This Row],[Jours]]&lt;30,Tableau3453[[#This Row],[Montant
de la facture
CHF]],""),"")</f>
        <v/>
      </c>
      <c r="O531" s="263" t="str">
        <f>IF(Tableau3453[[#This Row],[Date 
du paiement]]="",IF(Tableau3453[[#This Row],[Jours]]&gt;30,IF(Tableau3453[[#This Row],[Jours]]&lt;60,Tableau3453[[#This Row],[Montant
de la facture
CHF]],""),""),"")</f>
        <v/>
      </c>
      <c r="P531" s="263" t="str">
        <f>IF(Tableau3453[[#This Row],[Date 
du paiement]]="",IF(Tableau3453[[#This Row],[Jours]]&gt;60,Tableau3453[[#This Row],[Montant
de la facture
CHF]],""),"")</f>
        <v/>
      </c>
      <c r="Q531" s="266"/>
      <c r="R531" s="267" t="str">
        <f>Tableau3453[[#This Row],[Solde 
ouverte
fm]]</f>
        <v/>
      </c>
      <c r="S5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2" spans="1:19" hidden="1" outlineLevel="1" x14ac:dyDescent="0.25">
      <c r="A532" s="372">
        <v>240766</v>
      </c>
      <c r="B532" s="239">
        <v>0</v>
      </c>
      <c r="C532" s="352" t="str">
        <f>IF(Tableau3453[[#This Row],[Date 
du paiement]]="",IF(Tableau3453[[#This Row],[Jours]]&gt;Tableau3453[[#This Row],[Conditions
pmt+]]+5,"oui",""),"")</f>
        <v/>
      </c>
      <c r="D532" s="373" t="s">
        <v>1504</v>
      </c>
      <c r="E532" s="374">
        <v>45505</v>
      </c>
      <c r="F532" s="375">
        <v>721.9</v>
      </c>
      <c r="G532" s="242" t="str">
        <f>IF(Tableau3453[[#This Row],[Date 
du paiement]]="",Tableau3453[[#This Row],[Montant
de la facture
CHF]],"")</f>
        <v/>
      </c>
      <c r="H532" s="243" t="s">
        <v>1505</v>
      </c>
      <c r="I532" s="245">
        <v>45510</v>
      </c>
      <c r="J532" s="376">
        <v>45552</v>
      </c>
      <c r="K532" s="377" t="s">
        <v>58</v>
      </c>
      <c r="L532" s="264">
        <v>5</v>
      </c>
      <c r="M532" s="264">
        <f>IF(Tableau3453[[#This Row],[Date 
du paiement]]="",$D$4-Tableau3453[[#This Row],[Date
de la facture]],Tableau3453[[#This Row],[Date 
du paiement]]-Tableau3453[[#This Row],[Date
de la facture]])</f>
        <v>47</v>
      </c>
      <c r="N532" s="375" t="str">
        <f>IF(Tableau3453[[#This Row],[Date 
du paiement]]="",IF(Tableau3453[[#This Row],[Jours]]&lt;30,Tableau3453[[#This Row],[Montant
de la facture
CHF]],""),"")</f>
        <v/>
      </c>
      <c r="O532" s="375" t="str">
        <f>IF(Tableau3453[[#This Row],[Date 
du paiement]]="",IF(Tableau3453[[#This Row],[Jours]]&gt;30,IF(Tableau3453[[#This Row],[Jours]]&lt;60,Tableau3453[[#This Row],[Montant
de la facture
CHF]],""),""),"")</f>
        <v/>
      </c>
      <c r="P532" s="375" t="str">
        <f>IF(Tableau3453[[#This Row],[Date 
du paiement]]="",IF(Tableau3453[[#This Row],[Jours]]&gt;60,Tableau3453[[#This Row],[Montant
de la facture
CHF]],""),"")</f>
        <v/>
      </c>
      <c r="Q532" s="336" t="s">
        <v>1507</v>
      </c>
      <c r="R532" s="378" t="str">
        <f>Tableau3453[[#This Row],[Solde 
ouverte
fm]]</f>
        <v/>
      </c>
      <c r="S5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3" spans="1:19" hidden="1" outlineLevel="1" x14ac:dyDescent="0.25">
      <c r="A533" s="268">
        <v>240720</v>
      </c>
      <c r="B533" s="239">
        <v>30</v>
      </c>
      <c r="C533" s="352" t="str">
        <f>IF(Tableau3453[[#This Row],[Date 
du paiement]]="",IF(Tableau3453[[#This Row],[Jours]]&gt;Tableau3453[[#This Row],[Conditions
pmt+]]+5,"oui",""),"")</f>
        <v/>
      </c>
      <c r="D533" s="262" t="s">
        <v>869</v>
      </c>
      <c r="E533" s="240">
        <v>45490</v>
      </c>
      <c r="F533" s="263">
        <v>518.54999999999995</v>
      </c>
      <c r="G533" s="242" t="str">
        <f>IF(Tableau3453[[#This Row],[Date 
du paiement]]="",Tableau3453[[#This Row],[Montant
de la facture
CHF]],"")</f>
        <v/>
      </c>
      <c r="H533" s="243"/>
      <c r="I533" s="245">
        <v>45490</v>
      </c>
      <c r="J533" s="246">
        <v>45547</v>
      </c>
      <c r="K533" s="247" t="s">
        <v>58</v>
      </c>
      <c r="L533" s="264">
        <v>3</v>
      </c>
      <c r="M533" s="265">
        <f>IF(Tableau3453[[#This Row],[Date 
du paiement]]="",$D$4-Tableau3453[[#This Row],[Date
de la facture]],Tableau3453[[#This Row],[Date 
du paiement]]-Tableau3453[[#This Row],[Date
de la facture]])</f>
        <v>57</v>
      </c>
      <c r="N533" s="263" t="str">
        <f>IF(Tableau3453[[#This Row],[Date 
du paiement]]="",IF(Tableau3453[[#This Row],[Jours]]&lt;30,Tableau3453[[#This Row],[Montant
de la facture
CHF]],""),"")</f>
        <v/>
      </c>
      <c r="O533" s="263" t="str">
        <f>IF(Tableau3453[[#This Row],[Date 
du paiement]]="",IF(Tableau3453[[#This Row],[Jours]]&gt;30,IF(Tableau3453[[#This Row],[Jours]]&lt;60,Tableau3453[[#This Row],[Montant
de la facture
CHF]],""),""),"")</f>
        <v/>
      </c>
      <c r="P533" s="263" t="str">
        <f>IF(Tableau3453[[#This Row],[Date 
du paiement]]="",IF(Tableau3453[[#This Row],[Jours]]&gt;60,Tableau3453[[#This Row],[Montant
de la facture
CHF]],""),"")</f>
        <v/>
      </c>
      <c r="Q533" s="266"/>
      <c r="R533" s="267" t="str">
        <f>Tableau3453[[#This Row],[Solde 
ouverte
fm]]</f>
        <v/>
      </c>
      <c r="S53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4" spans="1:19" hidden="1" outlineLevel="1" x14ac:dyDescent="0.25">
      <c r="A534" s="268">
        <v>240762</v>
      </c>
      <c r="B534" s="239">
        <v>30</v>
      </c>
      <c r="C534" s="352" t="str">
        <f>IF(Tableau3453[[#This Row],[Date 
du paiement]]="",IF(Tableau3453[[#This Row],[Jours]]&gt;Tableau3453[[#This Row],[Conditions
pmt+]]+5,"oui",""),"")</f>
        <v/>
      </c>
      <c r="D534" s="262" t="s">
        <v>879</v>
      </c>
      <c r="E534" s="240">
        <v>45510</v>
      </c>
      <c r="F534" s="263">
        <v>689.55</v>
      </c>
      <c r="G534" s="242" t="str">
        <f>IF(Tableau3453[[#This Row],[Date 
du paiement]]="",Tableau3453[[#This Row],[Montant
de la facture
CHF]],"")</f>
        <v/>
      </c>
      <c r="H534" s="243"/>
      <c r="I534" s="245">
        <v>45510</v>
      </c>
      <c r="J534" s="246">
        <v>45548</v>
      </c>
      <c r="K534" s="247" t="s">
        <v>58</v>
      </c>
      <c r="L534" s="264">
        <v>1</v>
      </c>
      <c r="M534" s="265">
        <f>IF(Tableau3453[[#This Row],[Date 
du paiement]]="",$D$4-Tableau3453[[#This Row],[Date
de la facture]],Tableau3453[[#This Row],[Date 
du paiement]]-Tableau3453[[#This Row],[Date
de la facture]])</f>
        <v>38</v>
      </c>
      <c r="N534" s="263" t="str">
        <f>IF(Tableau3453[[#This Row],[Date 
du paiement]]="",IF(Tableau3453[[#This Row],[Jours]]&lt;30,Tableau3453[[#This Row],[Montant
de la facture
CHF]],""),"")</f>
        <v/>
      </c>
      <c r="O534" s="263" t="str">
        <f>IF(Tableau3453[[#This Row],[Date 
du paiement]]="",IF(Tableau3453[[#This Row],[Jours]]&gt;30,IF(Tableau3453[[#This Row],[Jours]]&lt;60,Tableau3453[[#This Row],[Montant
de la facture
CHF]],""),""),"")</f>
        <v/>
      </c>
      <c r="P534" s="263" t="str">
        <f>IF(Tableau3453[[#This Row],[Date 
du paiement]]="",IF(Tableau3453[[#This Row],[Jours]]&gt;60,Tableau3453[[#This Row],[Montant
de la facture
CHF]],""),"")</f>
        <v/>
      </c>
      <c r="Q534" s="266"/>
      <c r="R534" s="267" t="str">
        <f>Tableau3453[[#This Row],[Solde 
ouverte
fm]]</f>
        <v/>
      </c>
      <c r="S5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5" spans="1:19" hidden="1" x14ac:dyDescent="0.25">
      <c r="A535" s="238">
        <v>240592</v>
      </c>
      <c r="B535" s="239">
        <v>60</v>
      </c>
      <c r="C535" s="352" t="str">
        <f>IF(Tableau3453[[#This Row],[Date 
du paiement]]="",IF(Tableau3453[[#This Row],[Jours]]&gt;Tableau3453[[#This Row],[Conditions
pmt+]]+5,"oui",""),"")</f>
        <v/>
      </c>
      <c r="D535" s="251" t="s">
        <v>1002</v>
      </c>
      <c r="E535" s="240">
        <v>45461</v>
      </c>
      <c r="F535" s="263">
        <v>1649.8</v>
      </c>
      <c r="G535" s="242" t="str">
        <f>IF(Tableau3453[[#This Row],[Date 
du paiement]]="",Tableau3453[[#This Row],[Montant
de la facture
CHF]],"")</f>
        <v/>
      </c>
      <c r="H535" s="243"/>
      <c r="I535" s="245">
        <v>45463</v>
      </c>
      <c r="J535" s="246">
        <v>45538</v>
      </c>
      <c r="K535" s="247" t="s">
        <v>58</v>
      </c>
      <c r="L535" s="248">
        <v>2</v>
      </c>
      <c r="M535" s="248">
        <f>IF(Tableau3453[[#This Row],[Date 
du paiement]]="",$D$4-Tableau3453[[#This Row],[Date
de la facture]],Tableau3453[[#This Row],[Date 
du paiement]]-Tableau3453[[#This Row],[Date
de la facture]])</f>
        <v>77</v>
      </c>
      <c r="N535" s="241" t="str">
        <f>IF(Tableau3453[[#This Row],[Date 
du paiement]]="",IF(Tableau3453[[#This Row],[Jours]]&lt;30,Tableau3453[[#This Row],[Montant
de la facture
CHF]],""),"")</f>
        <v/>
      </c>
      <c r="O535" s="241" t="str">
        <f>IF(Tableau3453[[#This Row],[Date 
du paiement]]="",IF(Tableau3453[[#This Row],[Jours]]&gt;30,IF(Tableau3453[[#This Row],[Jours]]&lt;60,Tableau3453[[#This Row],[Montant
de la facture
CHF]],""),""),"")</f>
        <v/>
      </c>
      <c r="P535" s="241" t="str">
        <f>IF(Tableau3453[[#This Row],[Date 
du paiement]]="",IF(Tableau3453[[#This Row],[Jours]]&gt;60,Tableau3453[[#This Row],[Montant
de la facture
CHF]],""),"")</f>
        <v/>
      </c>
      <c r="Q535" s="249" t="s">
        <v>1404</v>
      </c>
      <c r="R535" s="250" t="str">
        <f>Tableau3453[[#This Row],[Solde 
ouverte
fm]]</f>
        <v/>
      </c>
      <c r="S5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6" spans="1:19" hidden="1" x14ac:dyDescent="0.25">
      <c r="A536" s="238">
        <v>240618</v>
      </c>
      <c r="B536" s="239">
        <v>60</v>
      </c>
      <c r="C536" s="352" t="str">
        <f>IF(Tableau3453[[#This Row],[Date 
du paiement]]="",IF(Tableau3453[[#This Row],[Jours]]&gt;Tableau3453[[#This Row],[Conditions
pmt+]]+5,"oui",""),"")</f>
        <v/>
      </c>
      <c r="D536" s="251" t="s">
        <v>1002</v>
      </c>
      <c r="E536" s="240">
        <v>45468</v>
      </c>
      <c r="F536" s="263">
        <v>3361.15</v>
      </c>
      <c r="G536" s="242" t="str">
        <f>IF(Tableau3453[[#This Row],[Date 
du paiement]]="",Tableau3453[[#This Row],[Montant
de la facture
CHF]],"")</f>
        <v/>
      </c>
      <c r="H536" s="243"/>
      <c r="I536" s="245">
        <v>45478</v>
      </c>
      <c r="J536" s="246">
        <v>45540</v>
      </c>
      <c r="K536" s="247" t="s">
        <v>58</v>
      </c>
      <c r="L536" s="248">
        <v>2</v>
      </c>
      <c r="M536" s="248">
        <f>IF(Tableau3453[[#This Row],[Date 
du paiement]]="",$D$4-Tableau3453[[#This Row],[Date
de la facture]],Tableau3453[[#This Row],[Date 
du paiement]]-Tableau3453[[#This Row],[Date
de la facture]])</f>
        <v>72</v>
      </c>
      <c r="N536" s="241" t="str">
        <f>IF(Tableau3453[[#This Row],[Date 
du paiement]]="",IF(Tableau3453[[#This Row],[Jours]]&lt;30,Tableau3453[[#This Row],[Montant
de la facture
CHF]],""),"")</f>
        <v/>
      </c>
      <c r="O536" s="241" t="str">
        <f>IF(Tableau3453[[#This Row],[Date 
du paiement]]="",IF(Tableau3453[[#This Row],[Jours]]&gt;30,IF(Tableau3453[[#This Row],[Jours]]&lt;60,Tableau3453[[#This Row],[Montant
de la facture
CHF]],""),""),"")</f>
        <v/>
      </c>
      <c r="P536" s="241" t="str">
        <f>IF(Tableau3453[[#This Row],[Date 
du paiement]]="",IF(Tableau3453[[#This Row],[Jours]]&gt;60,Tableau3453[[#This Row],[Montant
de la facture
CHF]],""),"")</f>
        <v/>
      </c>
      <c r="Q536" s="249" t="s">
        <v>1404</v>
      </c>
      <c r="R536" s="250" t="str">
        <f>Tableau3453[[#This Row],[Solde 
ouverte
fm]]</f>
        <v/>
      </c>
      <c r="S53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7" spans="1:19" hidden="1" x14ac:dyDescent="0.25">
      <c r="A537" s="268">
        <v>240724</v>
      </c>
      <c r="B537" s="239">
        <v>10</v>
      </c>
      <c r="C537" s="352" t="str">
        <f>IF(Tableau3453[[#This Row],[Date 
du paiement]]="",IF(Tableau3453[[#This Row],[Jours]]&gt;Tableau3453[[#This Row],[Conditions
pmt+]]+5,"oui",""),"")</f>
        <v/>
      </c>
      <c r="D537" s="262" t="s">
        <v>1285</v>
      </c>
      <c r="E537" s="240">
        <v>45503</v>
      </c>
      <c r="F537" s="263">
        <v>162.19999999999999</v>
      </c>
      <c r="G537" s="242" t="str">
        <f>IF(Tableau3453[[#This Row],[Date 
du paiement]]="",Tableau3453[[#This Row],[Montant
de la facture
CHF]],"")</f>
        <v/>
      </c>
      <c r="H537" s="243"/>
      <c r="I537" s="245">
        <v>45512</v>
      </c>
      <c r="J537" s="246">
        <v>45520</v>
      </c>
      <c r="K537" s="247" t="s">
        <v>58</v>
      </c>
      <c r="L537" s="264"/>
      <c r="M537" s="265">
        <f>IF(Tableau3453[[#This Row],[Date 
du paiement]]="",$D$4-Tableau3453[[#This Row],[Date
de la facture]],Tableau3453[[#This Row],[Date 
du paiement]]-Tableau3453[[#This Row],[Date
de la facture]])</f>
        <v>17</v>
      </c>
      <c r="N537" s="263" t="str">
        <f>IF(Tableau3453[[#This Row],[Date 
du paiement]]="",IF(Tableau3453[[#This Row],[Jours]]&lt;30,Tableau3453[[#This Row],[Montant
de la facture
CHF]],""),"")</f>
        <v/>
      </c>
      <c r="O537" s="263" t="str">
        <f>IF(Tableau3453[[#This Row],[Date 
du paiement]]="",IF(Tableau3453[[#This Row],[Jours]]&gt;30,IF(Tableau3453[[#This Row],[Jours]]&lt;60,Tableau3453[[#This Row],[Montant
de la facture
CHF]],""),""),"")</f>
        <v/>
      </c>
      <c r="P537" s="263" t="str">
        <f>IF(Tableau3453[[#This Row],[Date 
du paiement]]="",IF(Tableau3453[[#This Row],[Jours]]&gt;60,Tableau3453[[#This Row],[Montant
de la facture
CHF]],""),"")</f>
        <v/>
      </c>
      <c r="Q537" s="266"/>
      <c r="R537" s="267" t="str">
        <f>Tableau3453[[#This Row],[Solde 
ouverte
fm]]</f>
        <v/>
      </c>
      <c r="S53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8" spans="1:19" hidden="1" x14ac:dyDescent="0.25">
      <c r="A538" s="268">
        <v>240579</v>
      </c>
      <c r="B538" s="239">
        <v>0</v>
      </c>
      <c r="C538" s="352" t="str">
        <f>IF(Tableau3453[[#This Row],[Date 
du paiement]]="",IF(Tableau3453[[#This Row],[Jours]]&gt;Tableau3453[[#This Row],[Conditions
pmt+]]+5,"oui",""),"")</f>
        <v/>
      </c>
      <c r="D538" s="262" t="s">
        <v>885</v>
      </c>
      <c r="E538" s="240">
        <v>45504</v>
      </c>
      <c r="F538" s="263">
        <v>2190.5</v>
      </c>
      <c r="G538" s="242" t="str">
        <f>IF(Tableau3453[[#This Row],[Date 
du paiement]]="",Tableau3453[[#This Row],[Montant
de la facture
CHF]],"")</f>
        <v/>
      </c>
      <c r="H538" s="243"/>
      <c r="I538" s="245">
        <v>45510</v>
      </c>
      <c r="J538" s="246">
        <v>45513</v>
      </c>
      <c r="K538" s="247" t="s">
        <v>58</v>
      </c>
      <c r="L538" s="264"/>
      <c r="M538" s="265">
        <f>IF(Tableau3453[[#This Row],[Date 
du paiement]]="",$D$4-Tableau3453[[#This Row],[Date
de la facture]],Tableau3453[[#This Row],[Date 
du paiement]]-Tableau3453[[#This Row],[Date
de la facture]])</f>
        <v>9</v>
      </c>
      <c r="N538" s="263" t="str">
        <f>IF(Tableau3453[[#This Row],[Date 
du paiement]]="",IF(Tableau3453[[#This Row],[Jours]]&lt;30,Tableau3453[[#This Row],[Montant
de la facture
CHF]],""),"")</f>
        <v/>
      </c>
      <c r="O538" s="263" t="str">
        <f>IF(Tableau3453[[#This Row],[Date 
du paiement]]="",IF(Tableau3453[[#This Row],[Jours]]&gt;30,IF(Tableau3453[[#This Row],[Jours]]&lt;60,Tableau3453[[#This Row],[Montant
de la facture
CHF]],""),""),"")</f>
        <v/>
      </c>
      <c r="P538" s="263" t="str">
        <f>IF(Tableau3453[[#This Row],[Date 
du paiement]]="",IF(Tableau3453[[#This Row],[Jours]]&gt;60,Tableau3453[[#This Row],[Montant
de la facture
CHF]],""),"")</f>
        <v/>
      </c>
      <c r="Q538" s="266"/>
      <c r="R538" s="267" t="str">
        <f>Tableau3453[[#This Row],[Solde 
ouverte
fm]]</f>
        <v/>
      </c>
      <c r="S53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39" spans="1:19" hidden="1" x14ac:dyDescent="0.25">
      <c r="A539" s="268">
        <v>240748</v>
      </c>
      <c r="B539" s="239">
        <v>30</v>
      </c>
      <c r="C539" s="352" t="str">
        <f>IF(Tableau3453[[#This Row],[Date 
du paiement]]="",IF(Tableau3453[[#This Row],[Jours]]&gt;Tableau3453[[#This Row],[Conditions
pmt+]]+5,"oui",""),"")</f>
        <v/>
      </c>
      <c r="D539" s="262" t="s">
        <v>902</v>
      </c>
      <c r="E539" s="240">
        <v>45503</v>
      </c>
      <c r="F539" s="263">
        <v>1547.75</v>
      </c>
      <c r="G539" s="242" t="str">
        <f>IF(Tableau3453[[#This Row],[Date 
du paiement]]="",Tableau3453[[#This Row],[Montant
de la facture
CHF]],"")</f>
        <v/>
      </c>
      <c r="H539" s="243"/>
      <c r="I539" s="245">
        <v>45510</v>
      </c>
      <c r="J539" s="246">
        <v>45527</v>
      </c>
      <c r="K539" s="247" t="s">
        <v>58</v>
      </c>
      <c r="L539" s="264"/>
      <c r="M539" s="265">
        <f>IF(Tableau3453[[#This Row],[Date 
du paiement]]="",$D$4-Tableau3453[[#This Row],[Date
de la facture]],Tableau3453[[#This Row],[Date 
du paiement]]-Tableau3453[[#This Row],[Date
de la facture]])</f>
        <v>24</v>
      </c>
      <c r="N539" s="263" t="str">
        <f>IF(Tableau3453[[#This Row],[Date 
du paiement]]="",IF(Tableau3453[[#This Row],[Jours]]&lt;30,Tableau3453[[#This Row],[Montant
de la facture
CHF]],""),"")</f>
        <v/>
      </c>
      <c r="O539" s="263" t="str">
        <f>IF(Tableau3453[[#This Row],[Date 
du paiement]]="",IF(Tableau3453[[#This Row],[Jours]]&gt;30,IF(Tableau3453[[#This Row],[Jours]]&lt;60,Tableau3453[[#This Row],[Montant
de la facture
CHF]],""),""),"")</f>
        <v/>
      </c>
      <c r="P539" s="263" t="str">
        <f>IF(Tableau3453[[#This Row],[Date 
du paiement]]="",IF(Tableau3453[[#This Row],[Jours]]&gt;60,Tableau3453[[#This Row],[Montant
de la facture
CHF]],""),"")</f>
        <v/>
      </c>
      <c r="Q539" s="266"/>
      <c r="R539" s="267" t="str">
        <f>Tableau3453[[#This Row],[Solde 
ouverte
fm]]</f>
        <v/>
      </c>
      <c r="S5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0" spans="1:19" x14ac:dyDescent="0.25">
      <c r="A540" s="473">
        <v>241067</v>
      </c>
      <c r="B540" s="454">
        <v>0</v>
      </c>
      <c r="C540" s="505" t="str">
        <f ca="1">IF(Tableau3453[[#This Row],[Date 
du paiement]]="",IF(Tableau3453[[#This Row],[Jours]]&gt;Tableau3453[[#This Row],[Conditions
pmt+]]+5,"oui",""),"")</f>
        <v/>
      </c>
      <c r="D540" s="467" t="s">
        <v>1830</v>
      </c>
      <c r="E540" s="455">
        <v>45615</v>
      </c>
      <c r="F540" s="468">
        <v>418.75</v>
      </c>
      <c r="G540" s="501">
        <f>IF(Tableau3453[[#This Row],[Date 
du paiement]]="",Tableau3453[[#This Row],[Montant
de la facture
CHF]],"")</f>
        <v>418.75</v>
      </c>
      <c r="H540" s="458"/>
      <c r="I540" s="459">
        <v>45616</v>
      </c>
      <c r="J540" s="460"/>
      <c r="K540" s="461"/>
      <c r="L540" s="469"/>
      <c r="M540" s="470">
        <f ca="1">IF(Tableau3453[[#This Row],[Date 
du paiement]]="",$D$4-Tableau3453[[#This Row],[Date
de la facture]],Tableau3453[[#This Row],[Date 
du paiement]]-Tableau3453[[#This Row],[Date
de la facture]])</f>
        <v>2.4694253472189303</v>
      </c>
      <c r="N540" s="468">
        <f ca="1">IF(Tableau3453[[#This Row],[Date 
du paiement]]="",IF(Tableau3453[[#This Row],[Jours]]&lt;30,Tableau3453[[#This Row],[Montant
de la facture
CHF]],""),"")</f>
        <v>418.75</v>
      </c>
      <c r="O540" s="468" t="str">
        <f ca="1">IF(Tableau3453[[#This Row],[Date 
du paiement]]="",IF(Tableau3453[[#This Row],[Jours]]&gt;30,IF(Tableau3453[[#This Row],[Jours]]&lt;60,Tableau3453[[#This Row],[Montant
de la facture
CHF]],""),""),"")</f>
        <v/>
      </c>
      <c r="P540" s="468" t="str">
        <f ca="1">IF(Tableau3453[[#This Row],[Date 
du paiement]]="",IF(Tableau3453[[#This Row],[Jours]]&gt;60,Tableau3453[[#This Row],[Montant
de la facture
CHF]],""),"")</f>
        <v/>
      </c>
      <c r="Q540" s="471"/>
      <c r="R540" s="472">
        <f>Tableau3453[[#This Row],[Solde 
ouverte
fm]]</f>
        <v>418.75</v>
      </c>
      <c r="S540" s="468">
        <f ca="1">IF(Tableau3453[[#This Row],[Date 
du paiement]]="",IF(Tableau3453[[#This Row],[Jours]]-Tableau3453[[#This Row],[Conditions
pmt+]]&gt;0,Tableau3453[[#This Row],[Montant
de la facture
CHF]],"0.00"),"0.00")</f>
        <v>418.75</v>
      </c>
    </row>
    <row r="541" spans="1:19" x14ac:dyDescent="0.25">
      <c r="A541" s="473">
        <v>241032</v>
      </c>
      <c r="B541" s="454">
        <v>30</v>
      </c>
      <c r="C541" s="505" t="str">
        <f ca="1">IF(Tableau3453[[#This Row],[Date 
du paiement]]="",IF(Tableau3453[[#This Row],[Jours]]&gt;Tableau3453[[#This Row],[Conditions
pmt+]]+5,"oui",""),"")</f>
        <v/>
      </c>
      <c r="D541" s="467" t="s">
        <v>938</v>
      </c>
      <c r="E541" s="455">
        <v>45597</v>
      </c>
      <c r="F541" s="468">
        <v>284.14999999999998</v>
      </c>
      <c r="G541" s="501">
        <f>IF(Tableau3453[[#This Row],[Date 
du paiement]]="",Tableau3453[[#This Row],[Montant
de la facture
CHF]],"")</f>
        <v>284.14999999999998</v>
      </c>
      <c r="H541" s="458"/>
      <c r="I541" s="459">
        <v>45602</v>
      </c>
      <c r="J541" s="460"/>
      <c r="K541" s="461"/>
      <c r="L541" s="469"/>
      <c r="M541" s="470">
        <f ca="1">IF(Tableau3453[[#This Row],[Date 
du paiement]]="",$D$4-Tableau3453[[#This Row],[Date
de la facture]],Tableau3453[[#This Row],[Date 
du paiement]]-Tableau3453[[#This Row],[Date
de la facture]])</f>
        <v>20.46942534721893</v>
      </c>
      <c r="N541" s="468">
        <f ca="1">IF(Tableau3453[[#This Row],[Date 
du paiement]]="",IF(Tableau3453[[#This Row],[Jours]]&lt;30,Tableau3453[[#This Row],[Montant
de la facture
CHF]],""),"")</f>
        <v>284.14999999999998</v>
      </c>
      <c r="O541" s="468" t="str">
        <f ca="1">IF(Tableau3453[[#This Row],[Date 
du paiement]]="",IF(Tableau3453[[#This Row],[Jours]]&gt;30,IF(Tableau3453[[#This Row],[Jours]]&lt;60,Tableau3453[[#This Row],[Montant
de la facture
CHF]],""),""),"")</f>
        <v/>
      </c>
      <c r="P541" s="468" t="str">
        <f ca="1">IF(Tableau3453[[#This Row],[Date 
du paiement]]="",IF(Tableau3453[[#This Row],[Jours]]&gt;60,Tableau3453[[#This Row],[Montant
de la facture
CHF]],""),"")</f>
        <v/>
      </c>
      <c r="Q541" s="471"/>
      <c r="R541" s="472">
        <f>Tableau3453[[#This Row],[Solde 
ouverte
fm]]</f>
        <v>284.14999999999998</v>
      </c>
      <c r="S541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542" spans="1:19" hidden="1" x14ac:dyDescent="0.25">
      <c r="A542" s="380">
        <v>240763</v>
      </c>
      <c r="B542" s="408">
        <v>30</v>
      </c>
      <c r="C542" s="381" t="str">
        <f>IF(Tableau3453[[#This Row],[Date 
du paiement]]="",IF(Tableau3453[[#This Row],[Jours]]&gt;Tableau3453[[#This Row],[Conditions
pmt+]]+5,"oui",""),"")</f>
        <v/>
      </c>
      <c r="D542" s="382" t="s">
        <v>1467</v>
      </c>
      <c r="E542" s="383">
        <v>45517</v>
      </c>
      <c r="F542" s="384">
        <v>646.25</v>
      </c>
      <c r="G542" s="410" t="str">
        <f>IF(Tableau3453[[#This Row],[Date 
du paiement]]="",Tableau3453[[#This Row],[Montant
de la facture
CHF]],"")</f>
        <v/>
      </c>
      <c r="H542" s="411"/>
      <c r="I542" s="386">
        <v>45518</v>
      </c>
      <c r="J542" s="387">
        <v>45573</v>
      </c>
      <c r="K542" s="388" t="s">
        <v>58</v>
      </c>
      <c r="L542" s="389">
        <v>1</v>
      </c>
      <c r="M542" s="390">
        <f>IF(Tableau3453[[#This Row],[Date 
du paiement]]="",$D$4-Tableau3453[[#This Row],[Date
de la facture]],Tableau3453[[#This Row],[Date 
du paiement]]-Tableau3453[[#This Row],[Date
de la facture]])</f>
        <v>56</v>
      </c>
      <c r="N542" s="384" t="str">
        <f>IF(Tableau3453[[#This Row],[Date 
du paiement]]="",IF(Tableau3453[[#This Row],[Jours]]&lt;30,Tableau3453[[#This Row],[Montant
de la facture
CHF]],""),"")</f>
        <v/>
      </c>
      <c r="O542" s="384" t="str">
        <f>IF(Tableau3453[[#This Row],[Date 
du paiement]]="",IF(Tableau3453[[#This Row],[Jours]]&gt;30,IF(Tableau3453[[#This Row],[Jours]]&lt;60,Tableau3453[[#This Row],[Montant
de la facture
CHF]],""),""),"")</f>
        <v/>
      </c>
      <c r="P542" s="384" t="str">
        <f>IF(Tableau3453[[#This Row],[Date 
du paiement]]="",IF(Tableau3453[[#This Row],[Jours]]&gt;60,Tableau3453[[#This Row],[Montant
de la facture
CHF]],""),"")</f>
        <v/>
      </c>
      <c r="Q542" s="416"/>
      <c r="R542" s="391" t="str">
        <f>Tableau3453[[#This Row],[Solde 
ouverte
fm]]</f>
        <v/>
      </c>
      <c r="S542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3" spans="1:19" hidden="1" x14ac:dyDescent="0.25">
      <c r="A543" s="268">
        <v>240775</v>
      </c>
      <c r="B543" s="239">
        <v>30</v>
      </c>
      <c r="C543" s="352" t="str">
        <f>IF(Tableau3453[[#This Row],[Date 
du paiement]]="",IF(Tableau3453[[#This Row],[Jours]]&gt;Tableau3453[[#This Row],[Conditions
pmt+]]+5,"oui",""),"")</f>
        <v/>
      </c>
      <c r="D543" s="262" t="s">
        <v>879</v>
      </c>
      <c r="E543" s="240">
        <v>45517</v>
      </c>
      <c r="F543" s="263">
        <v>5344.5</v>
      </c>
      <c r="G543" s="242" t="str">
        <f>IF(Tableau3453[[#This Row],[Date 
du paiement]]="",Tableau3453[[#This Row],[Montant
de la facture
CHF]],"")</f>
        <v/>
      </c>
      <c r="H543" s="243"/>
      <c r="I543" s="245">
        <v>45517</v>
      </c>
      <c r="J543" s="246">
        <v>45555</v>
      </c>
      <c r="K543" s="247" t="s">
        <v>58</v>
      </c>
      <c r="L543" s="264"/>
      <c r="M543" s="265">
        <f>IF(Tableau3453[[#This Row],[Date 
du paiement]]="",$D$4-Tableau3453[[#This Row],[Date
de la facture]],Tableau3453[[#This Row],[Date 
du paiement]]-Tableau3453[[#This Row],[Date
de la facture]])</f>
        <v>38</v>
      </c>
      <c r="N543" s="263" t="str">
        <f>IF(Tableau3453[[#This Row],[Date 
du paiement]]="",IF(Tableau3453[[#This Row],[Jours]]&lt;30,Tableau3453[[#This Row],[Montant
de la facture
CHF]],""),"")</f>
        <v/>
      </c>
      <c r="O543" s="263" t="str">
        <f>IF(Tableau3453[[#This Row],[Date 
du paiement]]="",IF(Tableau3453[[#This Row],[Jours]]&gt;30,IF(Tableau3453[[#This Row],[Jours]]&lt;60,Tableau3453[[#This Row],[Montant
de la facture
CHF]],""),""),"")</f>
        <v/>
      </c>
      <c r="P543" s="263" t="str">
        <f>IF(Tableau3453[[#This Row],[Date 
du paiement]]="",IF(Tableau3453[[#This Row],[Jours]]&gt;60,Tableau3453[[#This Row],[Montant
de la facture
CHF]],""),"")</f>
        <v/>
      </c>
      <c r="Q543" s="266"/>
      <c r="R543" s="267" t="str">
        <f>Tableau3453[[#This Row],[Solde 
ouverte
fm]]</f>
        <v/>
      </c>
      <c r="S5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4" spans="1:19" hidden="1" x14ac:dyDescent="0.25">
      <c r="A544" s="268">
        <v>240788</v>
      </c>
      <c r="B544" s="239">
        <v>30</v>
      </c>
      <c r="C544" s="352" t="str">
        <f>IF(Tableau3453[[#This Row],[Date 
du paiement]]="",IF(Tableau3453[[#This Row],[Jours]]&gt;Tableau3453[[#This Row],[Conditions
pmt+]]+5,"oui",""),"")</f>
        <v/>
      </c>
      <c r="D544" s="262" t="s">
        <v>869</v>
      </c>
      <c r="E544" s="240">
        <v>45526</v>
      </c>
      <c r="F544" s="263">
        <v>3438.75</v>
      </c>
      <c r="G544" s="242" t="str">
        <f>IF(Tableau3453[[#This Row],[Date 
du paiement]]="",Tableau3453[[#This Row],[Montant
de la facture
CHF]],"")</f>
        <v/>
      </c>
      <c r="H544" s="243"/>
      <c r="I544" s="245">
        <v>45526</v>
      </c>
      <c r="J544" s="246">
        <v>45579</v>
      </c>
      <c r="K544" s="247" t="s">
        <v>58</v>
      </c>
      <c r="L544" s="264">
        <v>2</v>
      </c>
      <c r="M544" s="265">
        <f>IF(Tableau3453[[#This Row],[Date 
du paiement]]="",$D$4-Tableau3453[[#This Row],[Date
de la facture]],Tableau3453[[#This Row],[Date 
du paiement]]-Tableau3453[[#This Row],[Date
de la facture]])</f>
        <v>53</v>
      </c>
      <c r="N544" s="263" t="str">
        <f>IF(Tableau3453[[#This Row],[Date 
du paiement]]="",IF(Tableau3453[[#This Row],[Jours]]&lt;30,Tableau3453[[#This Row],[Montant
de la facture
CHF]],""),"")</f>
        <v/>
      </c>
      <c r="O544" s="263" t="str">
        <f>IF(Tableau3453[[#This Row],[Date 
du paiement]]="",IF(Tableau3453[[#This Row],[Jours]]&gt;30,IF(Tableau3453[[#This Row],[Jours]]&lt;60,Tableau3453[[#This Row],[Montant
de la facture
CHF]],""),""),"")</f>
        <v/>
      </c>
      <c r="P544" s="263" t="str">
        <f>IF(Tableau3453[[#This Row],[Date 
du paiement]]="",IF(Tableau3453[[#This Row],[Jours]]&gt;60,Tableau3453[[#This Row],[Montant
de la facture
CHF]],""),"")</f>
        <v/>
      </c>
      <c r="Q544" s="266"/>
      <c r="R544" s="267" t="str">
        <f>Tableau3453[[#This Row],[Solde 
ouverte
fm]]</f>
        <v/>
      </c>
      <c r="S54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5" spans="1:19" hidden="1" x14ac:dyDescent="0.25">
      <c r="A545" s="268">
        <v>240841</v>
      </c>
      <c r="B545" s="239">
        <v>60</v>
      </c>
      <c r="C545" s="352" t="str">
        <f>IF(Tableau3453[[#This Row],[Date 
du paiement]]="",IF(Tableau3453[[#This Row],[Jours]]&gt;Tableau3453[[#This Row],[Conditions
pmt+]]+5,"oui",""),"")</f>
        <v/>
      </c>
      <c r="D545" s="262" t="s">
        <v>1392</v>
      </c>
      <c r="E545" s="240">
        <v>45540</v>
      </c>
      <c r="F545" s="263">
        <v>671.7</v>
      </c>
      <c r="G545" s="242" t="str">
        <f>IF(Tableau3453[[#This Row],[Date 
du paiement]]="",Tableau3453[[#This Row],[Montant
de la facture
CHF]],"")</f>
        <v/>
      </c>
      <c r="H545" s="243"/>
      <c r="I545" s="245">
        <v>45540</v>
      </c>
      <c r="J545" s="246">
        <v>45601</v>
      </c>
      <c r="K545" s="247" t="s">
        <v>58</v>
      </c>
      <c r="L545" s="264"/>
      <c r="M545" s="265">
        <f>IF(Tableau3453[[#This Row],[Date 
du paiement]]="",$D$4-Tableau3453[[#This Row],[Date
de la facture]],Tableau3453[[#This Row],[Date 
du paiement]]-Tableau3453[[#This Row],[Date
de la facture]])</f>
        <v>61</v>
      </c>
      <c r="N545" s="263" t="str">
        <f>IF(Tableau3453[[#This Row],[Date 
du paiement]]="",IF(Tableau3453[[#This Row],[Jours]]&lt;30,Tableau3453[[#This Row],[Montant
de la facture
CHF]],""),"")</f>
        <v/>
      </c>
      <c r="O545" s="263" t="str">
        <f>IF(Tableau3453[[#This Row],[Date 
du paiement]]="",IF(Tableau3453[[#This Row],[Jours]]&gt;30,IF(Tableau3453[[#This Row],[Jours]]&lt;60,Tableau3453[[#This Row],[Montant
de la facture
CHF]],""),""),"")</f>
        <v/>
      </c>
      <c r="P545" s="263" t="str">
        <f>IF(Tableau3453[[#This Row],[Date 
du paiement]]="",IF(Tableau3453[[#This Row],[Jours]]&gt;60,Tableau3453[[#This Row],[Montant
de la facture
CHF]],""),"")</f>
        <v/>
      </c>
      <c r="Q545" s="266"/>
      <c r="R545" s="267" t="str">
        <f>Tableau3453[[#This Row],[Solde 
ouverte
fm]]</f>
        <v/>
      </c>
      <c r="S54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6" spans="1:19" hidden="1" x14ac:dyDescent="0.25">
      <c r="A546" s="380">
        <v>240726</v>
      </c>
      <c r="B546" s="408" t="s">
        <v>860</v>
      </c>
      <c r="C546" s="381" t="str">
        <f>IF(Tableau3453[[#This Row],[Date 
du paiement]]="",IF(Tableau3453[[#This Row],[Jours]]&gt;Tableau3453[[#This Row],[Conditions
pmt+]]+5,"oui",""),"")</f>
        <v/>
      </c>
      <c r="D546" s="382" t="s">
        <v>929</v>
      </c>
      <c r="E546" s="383">
        <v>45518</v>
      </c>
      <c r="F546" s="384">
        <v>6532.4</v>
      </c>
      <c r="G546" s="410" t="str">
        <f>IF(Tableau3453[[#This Row],[Date 
du paiement]]="",Tableau3453[[#This Row],[Montant
de la facture
CHF]],"")</f>
        <v/>
      </c>
      <c r="H546" s="411"/>
      <c r="I546" s="386">
        <v>45520</v>
      </c>
      <c r="J546" s="387">
        <v>45551</v>
      </c>
      <c r="K546" s="388" t="s">
        <v>58</v>
      </c>
      <c r="L546" s="389"/>
      <c r="M546" s="390">
        <f>IF(Tableau3453[[#This Row],[Date 
du paiement]]="",$D$4-Tableau3453[[#This Row],[Date
de la facture]],Tableau3453[[#This Row],[Date 
du paiement]]-Tableau3453[[#This Row],[Date
de la facture]])</f>
        <v>33</v>
      </c>
      <c r="N546" s="384" t="str">
        <f>IF(Tableau3453[[#This Row],[Date 
du paiement]]="",IF(Tableau3453[[#This Row],[Jours]]&lt;30,Tableau3453[[#This Row],[Montant
de la facture
CHF]],""),"")</f>
        <v/>
      </c>
      <c r="O546" s="384" t="str">
        <f>IF(Tableau3453[[#This Row],[Date 
du paiement]]="",IF(Tableau3453[[#This Row],[Jours]]&gt;30,IF(Tableau3453[[#This Row],[Jours]]&lt;60,Tableau3453[[#This Row],[Montant
de la facture
CHF]],""),""),"")</f>
        <v/>
      </c>
      <c r="P546" s="384" t="str">
        <f>IF(Tableau3453[[#This Row],[Date 
du paiement]]="",IF(Tableau3453[[#This Row],[Jours]]&gt;60,Tableau3453[[#This Row],[Montant
de la facture
CHF]],""),"")</f>
        <v/>
      </c>
      <c r="Q546" s="416"/>
      <c r="R546" s="391" t="str">
        <f>Tableau3453[[#This Row],[Solde 
ouverte
fm]]</f>
        <v/>
      </c>
      <c r="S546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7" spans="1:19" hidden="1" x14ac:dyDescent="0.25">
      <c r="A547" s="268">
        <v>240756</v>
      </c>
      <c r="B547" s="239">
        <v>0</v>
      </c>
      <c r="C547" s="352" t="str">
        <f>IF(Tableau3453[[#This Row],[Date 
du paiement]]="",IF(Tableau3453[[#This Row],[Jours]]&gt;Tableau3453[[#This Row],[Conditions
pmt+]]+5,"oui",""),"")</f>
        <v/>
      </c>
      <c r="D547" s="262" t="s">
        <v>1289</v>
      </c>
      <c r="E547" s="240">
        <v>45509</v>
      </c>
      <c r="F547" s="263">
        <v>196.45</v>
      </c>
      <c r="G547" s="242" t="str">
        <f>IF(Tableau3453[[#This Row],[Date 
du paiement]]="",Tableau3453[[#This Row],[Montant
de la facture
CHF]],"")</f>
        <v/>
      </c>
      <c r="H547" s="243"/>
      <c r="I547" s="245">
        <v>45512</v>
      </c>
      <c r="J547" s="246">
        <v>45506</v>
      </c>
      <c r="K547" s="247" t="s">
        <v>907</v>
      </c>
      <c r="L547" s="264"/>
      <c r="M547" s="265">
        <f>IF(Tableau3453[[#This Row],[Date 
du paiement]]="",$D$4-Tableau3453[[#This Row],[Date
de la facture]],Tableau3453[[#This Row],[Date 
du paiement]]-Tableau3453[[#This Row],[Date
de la facture]])</f>
        <v>-3</v>
      </c>
      <c r="N547" s="263" t="str">
        <f>IF(Tableau3453[[#This Row],[Date 
du paiement]]="",IF(Tableau3453[[#This Row],[Jours]]&lt;30,Tableau3453[[#This Row],[Montant
de la facture
CHF]],""),"")</f>
        <v/>
      </c>
      <c r="O547" s="263" t="str">
        <f>IF(Tableau3453[[#This Row],[Date 
du paiement]]="",IF(Tableau3453[[#This Row],[Jours]]&gt;30,IF(Tableau3453[[#This Row],[Jours]]&lt;60,Tableau3453[[#This Row],[Montant
de la facture
CHF]],""),""),"")</f>
        <v/>
      </c>
      <c r="P547" s="263" t="str">
        <f>IF(Tableau3453[[#This Row],[Date 
du paiement]]="",IF(Tableau3453[[#This Row],[Jours]]&gt;60,Tableau3453[[#This Row],[Montant
de la facture
CHF]],""),"")</f>
        <v/>
      </c>
      <c r="Q547" s="266"/>
      <c r="R547" s="267" t="str">
        <f>Tableau3453[[#This Row],[Solde 
ouverte
fm]]</f>
        <v/>
      </c>
      <c r="S54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8" spans="1:19" hidden="1" x14ac:dyDescent="0.25">
      <c r="A548" s="268">
        <v>240750</v>
      </c>
      <c r="B548" s="239">
        <v>0</v>
      </c>
      <c r="C548" s="352" t="str">
        <f>IF(Tableau3453[[#This Row],[Date 
du paiement]]="",IF(Tableau3453[[#This Row],[Jours]]&gt;Tableau3453[[#This Row],[Conditions
pmt+]]+5,"oui",""),"")</f>
        <v/>
      </c>
      <c r="D548" s="262" t="s">
        <v>1290</v>
      </c>
      <c r="E548" s="240">
        <v>45502</v>
      </c>
      <c r="F548" s="263">
        <v>277.85000000000002</v>
      </c>
      <c r="G548" s="242" t="str">
        <f>IF(Tableau3453[[#This Row],[Date 
du paiement]]="",Tableau3453[[#This Row],[Montant
de la facture
CHF]],"")</f>
        <v/>
      </c>
      <c r="H548" s="243"/>
      <c r="I548" s="245">
        <v>45512</v>
      </c>
      <c r="J548" s="246">
        <v>45498</v>
      </c>
      <c r="K548" s="247" t="s">
        <v>907</v>
      </c>
      <c r="L548" s="264"/>
      <c r="M548" s="265">
        <f>IF(Tableau3453[[#This Row],[Date 
du paiement]]="",$D$4-Tableau3453[[#This Row],[Date
de la facture]],Tableau3453[[#This Row],[Date 
du paiement]]-Tableau3453[[#This Row],[Date
de la facture]])</f>
        <v>-4</v>
      </c>
      <c r="N548" s="263" t="str">
        <f>IF(Tableau3453[[#This Row],[Date 
du paiement]]="",IF(Tableau3453[[#This Row],[Jours]]&lt;30,Tableau3453[[#This Row],[Montant
de la facture
CHF]],""),"")</f>
        <v/>
      </c>
      <c r="O548" s="263" t="str">
        <f>IF(Tableau3453[[#This Row],[Date 
du paiement]]="",IF(Tableau3453[[#This Row],[Jours]]&gt;30,IF(Tableau3453[[#This Row],[Jours]]&lt;60,Tableau3453[[#This Row],[Montant
de la facture
CHF]],""),""),"")</f>
        <v/>
      </c>
      <c r="P548" s="263" t="str">
        <f>IF(Tableau3453[[#This Row],[Date 
du paiement]]="",IF(Tableau3453[[#This Row],[Jours]]&gt;60,Tableau3453[[#This Row],[Montant
de la facture
CHF]],""),"")</f>
        <v/>
      </c>
      <c r="Q548" s="266"/>
      <c r="R548" s="267" t="str">
        <f>Tableau3453[[#This Row],[Solde 
ouverte
fm]]</f>
        <v/>
      </c>
      <c r="S54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49" spans="1:19" hidden="1" x14ac:dyDescent="0.25">
      <c r="A549" s="268">
        <v>240756</v>
      </c>
      <c r="B549" s="239" t="s">
        <v>870</v>
      </c>
      <c r="C549" s="352" t="str">
        <f>IF(Tableau3453[[#This Row],[Date 
du paiement]]="",IF(Tableau3453[[#This Row],[Jours]]&gt;Tableau3453[[#This Row],[Conditions
pmt+]]+5,"oui",""),"")</f>
        <v/>
      </c>
      <c r="D549" s="262" t="s">
        <v>1289</v>
      </c>
      <c r="E549" s="240">
        <v>45509</v>
      </c>
      <c r="F549" s="263">
        <v>196.45</v>
      </c>
      <c r="G549" s="242" t="str">
        <f>IF(Tableau3453[[#This Row],[Date 
du paiement]]="",Tableau3453[[#This Row],[Montant
de la facture
CHF]],"")</f>
        <v/>
      </c>
      <c r="H549" s="243"/>
      <c r="I549" s="245">
        <v>45512</v>
      </c>
      <c r="J549" s="246">
        <v>45506</v>
      </c>
      <c r="K549" s="247" t="s">
        <v>907</v>
      </c>
      <c r="L549" s="264"/>
      <c r="M549" s="265">
        <f>IF(Tableau3453[[#This Row],[Date 
du paiement]]="",$D$4-Tableau3453[[#This Row],[Date
de la facture]],Tableau3453[[#This Row],[Date 
du paiement]]-Tableau3453[[#This Row],[Date
de la facture]])</f>
        <v>-3</v>
      </c>
      <c r="N549" s="263" t="str">
        <f>IF(Tableau3453[[#This Row],[Date 
du paiement]]="",IF(Tableau3453[[#This Row],[Jours]]&lt;30,Tableau3453[[#This Row],[Montant
de la facture
CHF]],""),"")</f>
        <v/>
      </c>
      <c r="O549" s="263" t="str">
        <f>IF(Tableau3453[[#This Row],[Date 
du paiement]]="",IF(Tableau3453[[#This Row],[Jours]]&gt;30,IF(Tableau3453[[#This Row],[Jours]]&lt;60,Tableau3453[[#This Row],[Montant
de la facture
CHF]],""),""),"")</f>
        <v/>
      </c>
      <c r="P549" s="263" t="str">
        <f>IF(Tableau3453[[#This Row],[Date 
du paiement]]="",IF(Tableau3453[[#This Row],[Jours]]&gt;60,Tableau3453[[#This Row],[Montant
de la facture
CHF]],""),"")</f>
        <v/>
      </c>
      <c r="Q549" s="266"/>
      <c r="R549" s="267" t="str">
        <f>Tableau3453[[#This Row],[Solde 
ouverte
fm]]</f>
        <v/>
      </c>
      <c r="S5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0" spans="1:19" hidden="1" x14ac:dyDescent="0.25">
      <c r="A550" s="268">
        <v>240750</v>
      </c>
      <c r="B550" s="239" t="s">
        <v>870</v>
      </c>
      <c r="C550" s="352" t="str">
        <f>IF(Tableau3453[[#This Row],[Date 
du paiement]]="",IF(Tableau3453[[#This Row],[Jours]]&gt;Tableau3453[[#This Row],[Conditions
pmt+]]+5,"oui",""),"")</f>
        <v/>
      </c>
      <c r="D550" s="262" t="s">
        <v>1290</v>
      </c>
      <c r="E550" s="240">
        <v>45502</v>
      </c>
      <c r="F550" s="263">
        <v>277.85000000000002</v>
      </c>
      <c r="G550" s="242" t="str">
        <f>IF(Tableau3453[[#This Row],[Date 
du paiement]]="",Tableau3453[[#This Row],[Montant
de la facture
CHF]],"")</f>
        <v/>
      </c>
      <c r="H550" s="243"/>
      <c r="I550" s="245">
        <v>45512</v>
      </c>
      <c r="J550" s="246">
        <v>45498</v>
      </c>
      <c r="K550" s="247" t="s">
        <v>907</v>
      </c>
      <c r="L550" s="264"/>
      <c r="M550" s="265">
        <f>IF(Tableau3453[[#This Row],[Date 
du paiement]]="",$D$4-Tableau3453[[#This Row],[Date
de la facture]],Tableau3453[[#This Row],[Date 
du paiement]]-Tableau3453[[#This Row],[Date
de la facture]])</f>
        <v>-4</v>
      </c>
      <c r="N550" s="263" t="str">
        <f>IF(Tableau3453[[#This Row],[Date 
du paiement]]="",IF(Tableau3453[[#This Row],[Jours]]&lt;30,Tableau3453[[#This Row],[Montant
de la facture
CHF]],""),"")</f>
        <v/>
      </c>
      <c r="O550" s="263" t="str">
        <f>IF(Tableau3453[[#This Row],[Date 
du paiement]]="",IF(Tableau3453[[#This Row],[Jours]]&gt;30,IF(Tableau3453[[#This Row],[Jours]]&lt;60,Tableau3453[[#This Row],[Montant
de la facture
CHF]],""),""),"")</f>
        <v/>
      </c>
      <c r="P550" s="263" t="str">
        <f>IF(Tableau3453[[#This Row],[Date 
du paiement]]="",IF(Tableau3453[[#This Row],[Jours]]&gt;60,Tableau3453[[#This Row],[Montant
de la facture
CHF]],""),"")</f>
        <v/>
      </c>
      <c r="Q550" s="266"/>
      <c r="R550" s="267" t="str">
        <f>Tableau3453[[#This Row],[Solde 
ouverte
fm]]</f>
        <v/>
      </c>
      <c r="S55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1" spans="1:19" hidden="1" x14ac:dyDescent="0.25">
      <c r="A551" s="268">
        <v>240767</v>
      </c>
      <c r="B551" s="239" t="s">
        <v>860</v>
      </c>
      <c r="C551" s="352" t="str">
        <f>IF(Tableau3453[[#This Row],[Date 
du paiement]]="",IF(Tableau3453[[#This Row],[Jours]]&gt;Tableau3453[[#This Row],[Conditions
pmt+]]+5,"oui",""),"")</f>
        <v/>
      </c>
      <c r="D551" s="262" t="s">
        <v>934</v>
      </c>
      <c r="E551" s="240">
        <v>45519</v>
      </c>
      <c r="F551" s="263">
        <v>5497.4</v>
      </c>
      <c r="G551" s="242" t="str">
        <f>IF(Tableau3453[[#This Row],[Date 
du paiement]]="",Tableau3453[[#This Row],[Montant
de la facture
CHF]],"")</f>
        <v/>
      </c>
      <c r="H551" s="243"/>
      <c r="I551" s="245">
        <v>45520</v>
      </c>
      <c r="J551" s="246">
        <v>45552</v>
      </c>
      <c r="K551" s="247" t="s">
        <v>58</v>
      </c>
      <c r="L551" s="264"/>
      <c r="M551" s="265">
        <f>IF(Tableau3453[[#This Row],[Date 
du paiement]]="",$D$4-Tableau3453[[#This Row],[Date
de la facture]],Tableau3453[[#This Row],[Date 
du paiement]]-Tableau3453[[#This Row],[Date
de la facture]])</f>
        <v>33</v>
      </c>
      <c r="N551" s="263" t="str">
        <f>IF(Tableau3453[[#This Row],[Date 
du paiement]]="",IF(Tableau3453[[#This Row],[Jours]]&lt;30,Tableau3453[[#This Row],[Montant
de la facture
CHF]],""),"")</f>
        <v/>
      </c>
      <c r="O551" s="263" t="str">
        <f>IF(Tableau3453[[#This Row],[Date 
du paiement]]="",IF(Tableau3453[[#This Row],[Jours]]&gt;30,IF(Tableau3453[[#This Row],[Jours]]&lt;60,Tableau3453[[#This Row],[Montant
de la facture
CHF]],""),""),"")</f>
        <v/>
      </c>
      <c r="P551" s="263" t="str">
        <f>IF(Tableau3453[[#This Row],[Date 
du paiement]]="",IF(Tableau3453[[#This Row],[Jours]]&gt;60,Tableau3453[[#This Row],[Montant
de la facture
CHF]],""),"")</f>
        <v/>
      </c>
      <c r="Q551" s="266"/>
      <c r="R551" s="267" t="str">
        <f>Tableau3453[[#This Row],[Solde 
ouverte
fm]]</f>
        <v/>
      </c>
      <c r="S5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2" spans="1:19" x14ac:dyDescent="0.25">
      <c r="A552" s="268">
        <v>241081</v>
      </c>
      <c r="B552" s="239">
        <v>30</v>
      </c>
      <c r="C552" s="505" t="str">
        <f ca="1">IF(Tableau3453[[#This Row],[Date 
du paiement]]="",IF(Tableau3453[[#This Row],[Jours]]&gt;Tableau3453[[#This Row],[Conditions
pmt+]]+5,"oui",""),"")</f>
        <v/>
      </c>
      <c r="D552" s="467" t="s">
        <v>1831</v>
      </c>
      <c r="E552" s="240">
        <v>45615</v>
      </c>
      <c r="F552" s="468">
        <v>519.29999999999995</v>
      </c>
      <c r="G552" s="501">
        <f>IF(Tableau3453[[#This Row],[Date 
du paiement]]="",Tableau3453[[#This Row],[Montant
de la facture
CHF]],"")</f>
        <v>519.29999999999995</v>
      </c>
      <c r="H552" s="243"/>
      <c r="I552" s="459">
        <v>45616</v>
      </c>
      <c r="J552" s="246"/>
      <c r="K552" s="247"/>
      <c r="L552" s="469"/>
      <c r="M552" s="265">
        <f ca="1">IF(Tableau3453[[#This Row],[Date 
du paiement]]="",$D$4-Tableau3453[[#This Row],[Date
de la facture]],Tableau3453[[#This Row],[Date 
du paiement]]-Tableau3453[[#This Row],[Date
de la facture]])</f>
        <v>2.4694253472189303</v>
      </c>
      <c r="N552" s="263">
        <f ca="1">IF(Tableau3453[[#This Row],[Date 
du paiement]]="",IF(Tableau3453[[#This Row],[Jours]]&lt;30,Tableau3453[[#This Row],[Montant
de la facture
CHF]],""),"")</f>
        <v>519.29999999999995</v>
      </c>
      <c r="O552" s="263" t="str">
        <f ca="1">IF(Tableau3453[[#This Row],[Date 
du paiement]]="",IF(Tableau3453[[#This Row],[Jours]]&gt;30,IF(Tableau3453[[#This Row],[Jours]]&lt;60,Tableau3453[[#This Row],[Montant
de la facture
CHF]],""),""),"")</f>
        <v/>
      </c>
      <c r="P552" s="263" t="str">
        <f ca="1">IF(Tableau3453[[#This Row],[Date 
du paiement]]="",IF(Tableau3453[[#This Row],[Jours]]&gt;60,Tableau3453[[#This Row],[Montant
de la facture
CHF]],""),"")</f>
        <v/>
      </c>
      <c r="Q552" s="266"/>
      <c r="R552" s="267">
        <f>Tableau3453[[#This Row],[Solde 
ouverte
fm]]</f>
        <v>519.29999999999995</v>
      </c>
      <c r="S552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553" spans="1:19" hidden="1" x14ac:dyDescent="0.25">
      <c r="A553" s="380">
        <v>240785</v>
      </c>
      <c r="B553" s="408" t="s">
        <v>857</v>
      </c>
      <c r="C553" s="381" t="str">
        <f>IF(Tableau3453[[#This Row],[Date 
du paiement]]="",IF(Tableau3453[[#This Row],[Jours]]&gt;Tableau3453[[#This Row],[Conditions
pmt+]]+5,"oui",""),"")</f>
        <v/>
      </c>
      <c r="D553" s="407" t="s">
        <v>858</v>
      </c>
      <c r="E553" s="383">
        <v>45523</v>
      </c>
      <c r="F553" s="384">
        <v>3749</v>
      </c>
      <c r="G553" s="410" t="str">
        <f>IF(Tableau3453[[#This Row],[Date 
du paiement]]="",Tableau3453[[#This Row],[Montant
de la facture
CHF]],"")</f>
        <v/>
      </c>
      <c r="H553" s="411" t="s">
        <v>1513</v>
      </c>
      <c r="I553" s="386">
        <v>45525</v>
      </c>
      <c r="J553" s="387">
        <v>45552</v>
      </c>
      <c r="K553" s="388" t="s">
        <v>58</v>
      </c>
      <c r="L553" s="389"/>
      <c r="M553" s="390">
        <f>IF(Tableau3453[[#This Row],[Date 
du paiement]]="",$D$4-Tableau3453[[#This Row],[Date
de la facture]],Tableau3453[[#This Row],[Date 
du paiement]]-Tableau3453[[#This Row],[Date
de la facture]])</f>
        <v>29</v>
      </c>
      <c r="N553" s="384" t="str">
        <f>IF(Tableau3453[[#This Row],[Date 
du paiement]]="",IF(Tableau3453[[#This Row],[Jours]]&lt;30,Tableau3453[[#This Row],[Montant
de la facture
CHF]],""),"")</f>
        <v/>
      </c>
      <c r="O553" s="384" t="str">
        <f>IF(Tableau3453[[#This Row],[Date 
du paiement]]="",IF(Tableau3453[[#This Row],[Jours]]&gt;30,IF(Tableau3453[[#This Row],[Jours]]&lt;60,Tableau3453[[#This Row],[Montant
de la facture
CHF]],""),""),"")</f>
        <v/>
      </c>
      <c r="P553" s="384" t="str">
        <f>IF(Tableau3453[[#This Row],[Date 
du paiement]]="",IF(Tableau3453[[#This Row],[Jours]]&gt;60,Tableau3453[[#This Row],[Montant
de la facture
CHF]],""),"")</f>
        <v/>
      </c>
      <c r="Q553" s="416" t="s">
        <v>1365</v>
      </c>
      <c r="R553" s="391" t="str">
        <f>Tableau3453[[#This Row],[Solde 
ouverte
fm]]</f>
        <v/>
      </c>
      <c r="S553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4" spans="1:19" hidden="1" x14ac:dyDescent="0.25">
      <c r="A554" s="268">
        <v>240702</v>
      </c>
      <c r="B554" s="239">
        <v>60</v>
      </c>
      <c r="C554" s="352" t="str">
        <f>IF(Tableau3453[[#This Row],[Date 
du paiement]]="",IF(Tableau3453[[#This Row],[Jours]]&gt;Tableau3453[[#This Row],[Conditions
pmt+]]+5,"oui",""),"")</f>
        <v/>
      </c>
      <c r="D554" s="262" t="s">
        <v>916</v>
      </c>
      <c r="E554" s="240">
        <v>45484</v>
      </c>
      <c r="F554" s="263">
        <v>879.4</v>
      </c>
      <c r="G554" s="242" t="str">
        <f>IF(Tableau3453[[#This Row],[Date 
du paiement]]="",Tableau3453[[#This Row],[Montant
de la facture
CHF]],"")</f>
        <v/>
      </c>
      <c r="H554" s="243"/>
      <c r="I554" s="245">
        <v>45485</v>
      </c>
      <c r="J554" s="246">
        <v>45544</v>
      </c>
      <c r="K554" s="247" t="s">
        <v>58</v>
      </c>
      <c r="L554" s="264"/>
      <c r="M554" s="265">
        <f>IF(Tableau3453[[#This Row],[Date 
du paiement]]="",$D$4-Tableau3453[[#This Row],[Date
de la facture]],Tableau3453[[#This Row],[Date 
du paiement]]-Tableau3453[[#This Row],[Date
de la facture]])</f>
        <v>60</v>
      </c>
      <c r="N554" s="263" t="str">
        <f>IF(Tableau3453[[#This Row],[Date 
du paiement]]="",IF(Tableau3453[[#This Row],[Jours]]&lt;30,Tableau3453[[#This Row],[Montant
de la facture
CHF]],""),"")</f>
        <v/>
      </c>
      <c r="O554" s="263" t="str">
        <f>IF(Tableau3453[[#This Row],[Date 
du paiement]]="",IF(Tableau3453[[#This Row],[Jours]]&gt;30,IF(Tableau3453[[#This Row],[Jours]]&lt;60,Tableau3453[[#This Row],[Montant
de la facture
CHF]],""),""),"")</f>
        <v/>
      </c>
      <c r="P554" s="263" t="str">
        <f>IF(Tableau3453[[#This Row],[Date 
du paiement]]="",IF(Tableau3453[[#This Row],[Jours]]&gt;60,Tableau3453[[#This Row],[Montant
de la facture
CHF]],""),"")</f>
        <v/>
      </c>
      <c r="Q554" s="266"/>
      <c r="R554" s="267" t="str">
        <f>Tableau3453[[#This Row],[Solde 
ouverte
fm]]</f>
        <v/>
      </c>
      <c r="S5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5" spans="1:19" hidden="1" x14ac:dyDescent="0.25">
      <c r="A555" s="268">
        <v>240685</v>
      </c>
      <c r="B555" s="239" t="s">
        <v>857</v>
      </c>
      <c r="C555" s="352" t="str">
        <f>IF(Tableau3453[[#This Row],[Date 
du paiement]]="",IF(Tableau3453[[#This Row],[Jours]]&gt;Tableau3453[[#This Row],[Conditions
pmt+]]+5,"oui",""),"")</f>
        <v/>
      </c>
      <c r="D555" s="262" t="s">
        <v>916</v>
      </c>
      <c r="E555" s="240">
        <v>45485</v>
      </c>
      <c r="F555" s="263">
        <v>6624.15</v>
      </c>
      <c r="G555" s="242" t="str">
        <f>IF(Tableau3453[[#This Row],[Date 
du paiement]]="",Tableau3453[[#This Row],[Montant
de la facture
CHF]],"")</f>
        <v/>
      </c>
      <c r="H555" s="243"/>
      <c r="I555" s="245">
        <v>45488</v>
      </c>
      <c r="J555" s="246">
        <v>45544</v>
      </c>
      <c r="K555" s="247" t="s">
        <v>58</v>
      </c>
      <c r="L555" s="264"/>
      <c r="M555" s="265">
        <f>IF(Tableau3453[[#This Row],[Date 
du paiement]]="",$D$4-Tableau3453[[#This Row],[Date
de la facture]],Tableau3453[[#This Row],[Date 
du paiement]]-Tableau3453[[#This Row],[Date
de la facture]])</f>
        <v>59</v>
      </c>
      <c r="N555" s="263" t="str">
        <f>IF(Tableau3453[[#This Row],[Date 
du paiement]]="",IF(Tableau3453[[#This Row],[Jours]]&lt;30,Tableau3453[[#This Row],[Montant
de la facture
CHF]],""),"")</f>
        <v/>
      </c>
      <c r="O555" s="263" t="str">
        <f>IF(Tableau3453[[#This Row],[Date 
du paiement]]="",IF(Tableau3453[[#This Row],[Jours]]&gt;30,IF(Tableau3453[[#This Row],[Jours]]&lt;60,Tableau3453[[#This Row],[Montant
de la facture
CHF]],""),""),"")</f>
        <v/>
      </c>
      <c r="P555" s="263" t="str">
        <f>IF(Tableau3453[[#This Row],[Date 
du paiement]]="",IF(Tableau3453[[#This Row],[Jours]]&gt;60,Tableau3453[[#This Row],[Montant
de la facture
CHF]],""),"")</f>
        <v/>
      </c>
      <c r="Q555" s="266"/>
      <c r="R555" s="267" t="str">
        <f>Tableau3453[[#This Row],[Solde 
ouverte
fm]]</f>
        <v/>
      </c>
      <c r="S5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6" spans="1:19" x14ac:dyDescent="0.25">
      <c r="A556" s="268">
        <v>241049</v>
      </c>
      <c r="B556" s="239">
        <v>30</v>
      </c>
      <c r="C556" s="505" t="str">
        <f ca="1">IF(Tableau3453[[#This Row],[Date 
du paiement]]="",IF(Tableau3453[[#This Row],[Jours]]&gt;Tableau3453[[#This Row],[Conditions
pmt+]]+5,"oui",""),"")</f>
        <v/>
      </c>
      <c r="D556" s="467" t="s">
        <v>900</v>
      </c>
      <c r="E556" s="240">
        <v>45604</v>
      </c>
      <c r="F556" s="468">
        <v>2142.1999999999998</v>
      </c>
      <c r="G556" s="501">
        <f>IF(Tableau3453[[#This Row],[Date 
du paiement]]="",Tableau3453[[#This Row],[Montant
de la facture
CHF]],"")</f>
        <v>2142.1999999999998</v>
      </c>
      <c r="H556" s="243"/>
      <c r="I556" s="459">
        <v>45607</v>
      </c>
      <c r="J556" s="246"/>
      <c r="K556" s="247"/>
      <c r="L556" s="264"/>
      <c r="M556" s="265">
        <f ca="1">IF(Tableau3453[[#This Row],[Date 
du paiement]]="",$D$4-Tableau3453[[#This Row],[Date
de la facture]],Tableau3453[[#This Row],[Date 
du paiement]]-Tableau3453[[#This Row],[Date
de la facture]])</f>
        <v>13.46942534721893</v>
      </c>
      <c r="N556" s="263">
        <f ca="1">IF(Tableau3453[[#This Row],[Date 
du paiement]]="",IF(Tableau3453[[#This Row],[Jours]]&lt;30,Tableau3453[[#This Row],[Montant
de la facture
CHF]],""),"")</f>
        <v>2142.1999999999998</v>
      </c>
      <c r="O556" s="263" t="str">
        <f ca="1">IF(Tableau3453[[#This Row],[Date 
du paiement]]="",IF(Tableau3453[[#This Row],[Jours]]&gt;30,IF(Tableau3453[[#This Row],[Jours]]&lt;60,Tableau3453[[#This Row],[Montant
de la facture
CHF]],""),""),"")</f>
        <v/>
      </c>
      <c r="P556" s="263" t="str">
        <f ca="1">IF(Tableau3453[[#This Row],[Date 
du paiement]]="",IF(Tableau3453[[#This Row],[Jours]]&gt;60,Tableau3453[[#This Row],[Montant
de la facture
CHF]],""),"")</f>
        <v/>
      </c>
      <c r="Q556" s="266"/>
      <c r="R556" s="267">
        <f>Tableau3453[[#This Row],[Solde 
ouverte
fm]]</f>
        <v>2142.1999999999998</v>
      </c>
      <c r="S556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557" spans="1:19" hidden="1" x14ac:dyDescent="0.25">
      <c r="A557" s="380">
        <v>240797</v>
      </c>
      <c r="B557" s="408" t="s">
        <v>860</v>
      </c>
      <c r="C557" s="381" t="str">
        <f>IF(Tableau3453[[#This Row],[Date 
du paiement]]="",IF(Tableau3453[[#This Row],[Jours]]&gt;Tableau3453[[#This Row],[Conditions
pmt+]]+5,"oui",""),"")</f>
        <v/>
      </c>
      <c r="D557" s="382" t="s">
        <v>969</v>
      </c>
      <c r="E557" s="383">
        <v>45524</v>
      </c>
      <c r="F557" s="384">
        <v>482.55</v>
      </c>
      <c r="G557" s="410" t="str">
        <f>IF(Tableau3453[[#This Row],[Date 
du paiement]]="",Tableau3453[[#This Row],[Montant
de la facture
CHF]],"")</f>
        <v/>
      </c>
      <c r="H557" s="411"/>
      <c r="I557" s="386">
        <v>45525</v>
      </c>
      <c r="J557" s="387">
        <v>45565</v>
      </c>
      <c r="K557" s="388" t="s">
        <v>58</v>
      </c>
      <c r="L557" s="389"/>
      <c r="M557" s="390">
        <f>IF(Tableau3453[[#This Row],[Date 
du paiement]]="",$D$4-Tableau3453[[#This Row],[Date
de la facture]],Tableau3453[[#This Row],[Date 
du paiement]]-Tableau3453[[#This Row],[Date
de la facture]])</f>
        <v>41</v>
      </c>
      <c r="N557" s="384" t="str">
        <f>IF(Tableau3453[[#This Row],[Date 
du paiement]]="",IF(Tableau3453[[#This Row],[Jours]]&lt;30,Tableau3453[[#This Row],[Montant
de la facture
CHF]],""),"")</f>
        <v/>
      </c>
      <c r="O557" s="384" t="str">
        <f>IF(Tableau3453[[#This Row],[Date 
du paiement]]="",IF(Tableau3453[[#This Row],[Jours]]&gt;30,IF(Tableau3453[[#This Row],[Jours]]&lt;60,Tableau3453[[#This Row],[Montant
de la facture
CHF]],""),""),"")</f>
        <v/>
      </c>
      <c r="P557" s="384" t="str">
        <f>IF(Tableau3453[[#This Row],[Date 
du paiement]]="",IF(Tableau3453[[#This Row],[Jours]]&gt;60,Tableau3453[[#This Row],[Montant
de la facture
CHF]],""),"")</f>
        <v/>
      </c>
      <c r="Q557" s="416"/>
      <c r="R557" s="391" t="str">
        <f>Tableau3453[[#This Row],[Solde 
ouverte
fm]]</f>
        <v/>
      </c>
      <c r="S557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8" spans="1:19" hidden="1" x14ac:dyDescent="0.25">
      <c r="A558" s="268">
        <v>240739</v>
      </c>
      <c r="B558" s="239">
        <v>30</v>
      </c>
      <c r="C558" s="352" t="str">
        <f>IF(Tableau3453[[#This Row],[Date 
du paiement]]="",IF(Tableau3453[[#This Row],[Jours]]&gt;Tableau3453[[#This Row],[Conditions
pmt+]]+5,"oui",""),"")</f>
        <v/>
      </c>
      <c r="D558" s="262" t="s">
        <v>1342</v>
      </c>
      <c r="E558" s="240">
        <v>45517</v>
      </c>
      <c r="F558" s="263">
        <v>608.65</v>
      </c>
      <c r="G558" s="242" t="str">
        <f>IF(Tableau3453[[#This Row],[Date 
du paiement]]="",Tableau3453[[#This Row],[Montant
de la facture
CHF]],"")</f>
        <v/>
      </c>
      <c r="H558" s="243"/>
      <c r="I558" s="245">
        <v>45518</v>
      </c>
      <c r="J558" s="246">
        <v>45509</v>
      </c>
      <c r="K558" s="247" t="s">
        <v>58</v>
      </c>
      <c r="L558" s="264"/>
      <c r="M558" s="265">
        <f>IF(Tableau3453[[#This Row],[Date 
du paiement]]="",$D$4-Tableau3453[[#This Row],[Date
de la facture]],Tableau3453[[#This Row],[Date 
du paiement]]-Tableau3453[[#This Row],[Date
de la facture]])</f>
        <v>-8</v>
      </c>
      <c r="N558" s="263" t="str">
        <f>IF(Tableau3453[[#This Row],[Date 
du paiement]]="",IF(Tableau3453[[#This Row],[Jours]]&lt;30,Tableau3453[[#This Row],[Montant
de la facture
CHF]],""),"")</f>
        <v/>
      </c>
      <c r="O558" s="263" t="str">
        <f>IF(Tableau3453[[#This Row],[Date 
du paiement]]="",IF(Tableau3453[[#This Row],[Jours]]&gt;30,IF(Tableau3453[[#This Row],[Jours]]&lt;60,Tableau3453[[#This Row],[Montant
de la facture
CHF]],""),""),"")</f>
        <v/>
      </c>
      <c r="P558" s="263" t="str">
        <f>IF(Tableau3453[[#This Row],[Date 
du paiement]]="",IF(Tableau3453[[#This Row],[Jours]]&gt;60,Tableau3453[[#This Row],[Montant
de la facture
CHF]],""),"")</f>
        <v/>
      </c>
      <c r="Q558" s="266"/>
      <c r="R558" s="267" t="str">
        <f>Tableau3453[[#This Row],[Solde 
ouverte
fm]]</f>
        <v/>
      </c>
      <c r="S55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59" spans="1:19" hidden="1" x14ac:dyDescent="0.25">
      <c r="A559" s="268">
        <v>240792</v>
      </c>
      <c r="B559" s="239" t="s">
        <v>860</v>
      </c>
      <c r="C559" s="352" t="str">
        <f>IF(Tableau3453[[#This Row],[Date 
du paiement]]="",IF(Tableau3453[[#This Row],[Jours]]&gt;Tableau3453[[#This Row],[Conditions
pmt+]]+5,"oui",""),"")</f>
        <v/>
      </c>
      <c r="D559" s="262" t="s">
        <v>1107</v>
      </c>
      <c r="E559" s="240">
        <v>45525</v>
      </c>
      <c r="F559" s="263">
        <v>138.85</v>
      </c>
      <c r="G559" s="242" t="str">
        <f>IF(Tableau3453[[#This Row],[Date 
du paiement]]="",Tableau3453[[#This Row],[Montant
de la facture
CHF]],"")</f>
        <v/>
      </c>
      <c r="H559" s="243" t="s">
        <v>1506</v>
      </c>
      <c r="I559" s="245">
        <v>45526</v>
      </c>
      <c r="J559" s="246">
        <v>45559</v>
      </c>
      <c r="K559" s="247" t="s">
        <v>58</v>
      </c>
      <c r="L559" s="264"/>
      <c r="M559" s="265">
        <f>IF(Tableau3453[[#This Row],[Date 
du paiement]]="",$D$4-Tableau3453[[#This Row],[Date
de la facture]],Tableau3453[[#This Row],[Date 
du paiement]]-Tableau3453[[#This Row],[Date
de la facture]])</f>
        <v>34</v>
      </c>
      <c r="N559" s="263" t="str">
        <f>IF(Tableau3453[[#This Row],[Date 
du paiement]]="",IF(Tableau3453[[#This Row],[Jours]]&lt;30,Tableau3453[[#This Row],[Montant
de la facture
CHF]],""),"")</f>
        <v/>
      </c>
      <c r="O559" s="263" t="str">
        <f>IF(Tableau3453[[#This Row],[Date 
du paiement]]="",IF(Tableau3453[[#This Row],[Jours]]&gt;30,IF(Tableau3453[[#This Row],[Jours]]&lt;60,Tableau3453[[#This Row],[Montant
de la facture
CHF]],""),""),"")</f>
        <v/>
      </c>
      <c r="P559" s="263" t="str">
        <f>IF(Tableau3453[[#This Row],[Date 
du paiement]]="",IF(Tableau3453[[#This Row],[Jours]]&gt;60,Tableau3453[[#This Row],[Montant
de la facture
CHF]],""),"")</f>
        <v/>
      </c>
      <c r="Q559" s="266"/>
      <c r="R559" s="267" t="str">
        <f>Tableau3453[[#This Row],[Solde 
ouverte
fm]]</f>
        <v/>
      </c>
      <c r="S5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0" spans="1:19" x14ac:dyDescent="0.25">
      <c r="A560" s="473">
        <v>240094</v>
      </c>
      <c r="B560" s="454">
        <v>30</v>
      </c>
      <c r="C560" s="505" t="str">
        <f ca="1">IF(Tableau3453[[#This Row],[Date 
du paiement]]="",IF(Tableau3453[[#This Row],[Jours]]&gt;Tableau3453[[#This Row],[Conditions
pmt+]]+5,"oui",""),"")</f>
        <v/>
      </c>
      <c r="D560" s="467" t="s">
        <v>1692</v>
      </c>
      <c r="E560" s="455">
        <v>45588</v>
      </c>
      <c r="F560" s="468">
        <v>4210.6499999999996</v>
      </c>
      <c r="G560" s="501">
        <f>IF(Tableau3453[[#This Row],[Date 
du paiement]]="",Tableau3453[[#This Row],[Montant
de la facture
CHF]],"")</f>
        <v>4210.6499999999996</v>
      </c>
      <c r="H560" s="458"/>
      <c r="I560" s="459">
        <v>45589</v>
      </c>
      <c r="J560" s="460"/>
      <c r="K560" s="461"/>
      <c r="L560" s="469"/>
      <c r="M560" s="470">
        <f ca="1">IF(Tableau3453[[#This Row],[Date 
du paiement]]="",$D$4-Tableau3453[[#This Row],[Date
de la facture]],Tableau3453[[#This Row],[Date 
du paiement]]-Tableau3453[[#This Row],[Date
de la facture]])</f>
        <v>29.46942534721893</v>
      </c>
      <c r="N560" s="468">
        <f ca="1">IF(Tableau3453[[#This Row],[Date 
du paiement]]="",IF(Tableau3453[[#This Row],[Jours]]&lt;30,Tableau3453[[#This Row],[Montant
de la facture
CHF]],""),"")</f>
        <v>4210.6499999999996</v>
      </c>
      <c r="O560" s="468" t="str">
        <f ca="1">IF(Tableau3453[[#This Row],[Date 
du paiement]]="",IF(Tableau3453[[#This Row],[Jours]]&gt;30,IF(Tableau3453[[#This Row],[Jours]]&lt;60,Tableau3453[[#This Row],[Montant
de la facture
CHF]],""),""),"")</f>
        <v/>
      </c>
      <c r="P560" s="468" t="str">
        <f ca="1">IF(Tableau3453[[#This Row],[Date 
du paiement]]="",IF(Tableau3453[[#This Row],[Jours]]&gt;60,Tableau3453[[#This Row],[Montant
de la facture
CHF]],""),"")</f>
        <v/>
      </c>
      <c r="Q560" s="471"/>
      <c r="R560" s="472">
        <f>Tableau3453[[#This Row],[Solde 
ouverte
fm]]</f>
        <v>4210.6499999999996</v>
      </c>
      <c r="S560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561" spans="1:19" hidden="1" x14ac:dyDescent="0.25">
      <c r="A561" s="380">
        <v>240805</v>
      </c>
      <c r="B561" s="408" t="s">
        <v>860</v>
      </c>
      <c r="C561" s="381" t="str">
        <f>IF(Tableau3453[[#This Row],[Date 
du paiement]]="",IF(Tableau3453[[#This Row],[Jours]]&gt;Tableau3453[[#This Row],[Conditions
pmt+]]+5,"oui",""),"")</f>
        <v/>
      </c>
      <c r="D561" s="382" t="s">
        <v>879</v>
      </c>
      <c r="E561" s="383">
        <v>45525</v>
      </c>
      <c r="F561" s="384">
        <v>229.85</v>
      </c>
      <c r="G561" s="410" t="str">
        <f>IF(Tableau3453[[#This Row],[Date 
du paiement]]="",Tableau3453[[#This Row],[Montant
de la facture
CHF]],"")</f>
        <v/>
      </c>
      <c r="H561" s="411"/>
      <c r="I561" s="386">
        <v>45526</v>
      </c>
      <c r="J561" s="387">
        <v>45562</v>
      </c>
      <c r="K561" s="388" t="s">
        <v>58</v>
      </c>
      <c r="L561" s="389"/>
      <c r="M561" s="390">
        <f>IF(Tableau3453[[#This Row],[Date 
du paiement]]="",$D$4-Tableau3453[[#This Row],[Date
de la facture]],Tableau3453[[#This Row],[Date 
du paiement]]-Tableau3453[[#This Row],[Date
de la facture]])</f>
        <v>37</v>
      </c>
      <c r="N561" s="384" t="str">
        <f>IF(Tableau3453[[#This Row],[Date 
du paiement]]="",IF(Tableau3453[[#This Row],[Jours]]&lt;30,Tableau3453[[#This Row],[Montant
de la facture
CHF]],""),"")</f>
        <v/>
      </c>
      <c r="O561" s="384" t="str">
        <f>IF(Tableau3453[[#This Row],[Date 
du paiement]]="",IF(Tableau3453[[#This Row],[Jours]]&gt;30,IF(Tableau3453[[#This Row],[Jours]]&lt;60,Tableau3453[[#This Row],[Montant
de la facture
CHF]],""),""),"")</f>
        <v/>
      </c>
      <c r="P561" s="384" t="str">
        <f>IF(Tableau3453[[#This Row],[Date 
du paiement]]="",IF(Tableau3453[[#This Row],[Jours]]&gt;60,Tableau3453[[#This Row],[Montant
de la facture
CHF]],""),"")</f>
        <v/>
      </c>
      <c r="Q561" s="416"/>
      <c r="R561" s="391" t="str">
        <f>Tableau3453[[#This Row],[Solde 
ouverte
fm]]</f>
        <v/>
      </c>
      <c r="S561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2" spans="1:19" hidden="1" x14ac:dyDescent="0.25">
      <c r="A562" s="268">
        <v>240795</v>
      </c>
      <c r="B562" s="239" t="s">
        <v>870</v>
      </c>
      <c r="C562" s="352" t="str">
        <f>IF(Tableau3453[[#This Row],[Date 
du paiement]]="",IF(Tableau3453[[#This Row],[Jours]]&gt;Tableau3453[[#This Row],[Conditions
pmt+]]+5,"oui",""),"")</f>
        <v/>
      </c>
      <c r="D562" s="262" t="s">
        <v>1009</v>
      </c>
      <c r="E562" s="240">
        <v>45518</v>
      </c>
      <c r="F562" s="263">
        <v>57104.35</v>
      </c>
      <c r="G562" s="242" t="str">
        <f>IF(Tableau3453[[#This Row],[Date 
du paiement]]="",Tableau3453[[#This Row],[Montant
de la facture
CHF]],"")</f>
        <v/>
      </c>
      <c r="H562" s="243"/>
      <c r="I562" s="245">
        <v>45519</v>
      </c>
      <c r="J562" s="246">
        <v>45527</v>
      </c>
      <c r="K562" s="247" t="s">
        <v>58</v>
      </c>
      <c r="L562" s="264"/>
      <c r="M562" s="265">
        <f>IF(Tableau3453[[#This Row],[Date 
du paiement]]="",$D$4-Tableau3453[[#This Row],[Date
de la facture]],Tableau3453[[#This Row],[Date 
du paiement]]-Tableau3453[[#This Row],[Date
de la facture]])</f>
        <v>9</v>
      </c>
      <c r="N562" s="263" t="str">
        <f>IF(Tableau3453[[#This Row],[Date 
du paiement]]="",IF(Tableau3453[[#This Row],[Jours]]&lt;30,Tableau3453[[#This Row],[Montant
de la facture
CHF]],""),"")</f>
        <v/>
      </c>
      <c r="O562" s="263" t="str">
        <f>IF(Tableau3453[[#This Row],[Date 
du paiement]]="",IF(Tableau3453[[#This Row],[Jours]]&gt;30,IF(Tableau3453[[#This Row],[Jours]]&lt;60,Tableau3453[[#This Row],[Montant
de la facture
CHF]],""),""),"")</f>
        <v/>
      </c>
      <c r="P562" s="263" t="str">
        <f>IF(Tableau3453[[#This Row],[Date 
du paiement]]="",IF(Tableau3453[[#This Row],[Jours]]&gt;60,Tableau3453[[#This Row],[Montant
de la facture
CHF]],""),"")</f>
        <v/>
      </c>
      <c r="Q562" s="266"/>
      <c r="R562" s="267" t="str">
        <f>Tableau3453[[#This Row],[Solde 
ouverte
fm]]</f>
        <v/>
      </c>
      <c r="S56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3" spans="1:19" hidden="1" x14ac:dyDescent="0.25">
      <c r="A563" s="268">
        <v>240694</v>
      </c>
      <c r="B563" s="239" t="s">
        <v>860</v>
      </c>
      <c r="C563" s="352" t="str">
        <f>IF(Tableau3453[[#This Row],[Date 
du paiement]]="",IF(Tableau3453[[#This Row],[Jours]]&gt;Tableau3453[[#This Row],[Conditions
pmt+]]+5,"oui",""),"")</f>
        <v/>
      </c>
      <c r="D563" s="262" t="s">
        <v>1183</v>
      </c>
      <c r="E563" s="240">
        <v>45518</v>
      </c>
      <c r="F563" s="263">
        <v>866.95</v>
      </c>
      <c r="G563" s="242" t="str">
        <f>IF(Tableau3453[[#This Row],[Date 
du paiement]]="",Tableau3453[[#This Row],[Montant
de la facture
CHF]],"")</f>
        <v/>
      </c>
      <c r="H563" s="243"/>
      <c r="I563" s="245">
        <v>45520</v>
      </c>
      <c r="J563" s="246">
        <v>45530</v>
      </c>
      <c r="K563" s="247" t="s">
        <v>58</v>
      </c>
      <c r="L563" s="264"/>
      <c r="M563" s="265">
        <f>IF(Tableau3453[[#This Row],[Date 
du paiement]]="",$D$4-Tableau3453[[#This Row],[Date
de la facture]],Tableau3453[[#This Row],[Date 
du paiement]]-Tableau3453[[#This Row],[Date
de la facture]])</f>
        <v>12</v>
      </c>
      <c r="N563" s="263" t="str">
        <f>IF(Tableau3453[[#This Row],[Date 
du paiement]]="",IF(Tableau3453[[#This Row],[Jours]]&lt;30,Tableau3453[[#This Row],[Montant
de la facture
CHF]],""),"")</f>
        <v/>
      </c>
      <c r="O563" s="263" t="str">
        <f>IF(Tableau3453[[#This Row],[Date 
du paiement]]="",IF(Tableau3453[[#This Row],[Jours]]&gt;30,IF(Tableau3453[[#This Row],[Jours]]&lt;60,Tableau3453[[#This Row],[Montant
de la facture
CHF]],""),""),"")</f>
        <v/>
      </c>
      <c r="P563" s="263" t="str">
        <f>IF(Tableau3453[[#This Row],[Date 
du paiement]]="",IF(Tableau3453[[#This Row],[Jours]]&gt;60,Tableau3453[[#This Row],[Montant
de la facture
CHF]],""),"")</f>
        <v/>
      </c>
      <c r="Q563" s="266"/>
      <c r="R563" s="267" t="str">
        <f>Tableau3453[[#This Row],[Solde 
ouverte
fm]]</f>
        <v/>
      </c>
      <c r="S5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4" spans="1:19" x14ac:dyDescent="0.25">
      <c r="A564" s="473">
        <v>240995</v>
      </c>
      <c r="B564" s="454">
        <v>30</v>
      </c>
      <c r="C564" s="505" t="str">
        <f ca="1">IF(Tableau3453[[#This Row],[Date 
du paiement]]="",IF(Tableau3453[[#This Row],[Jours]]&gt;Tableau3453[[#This Row],[Conditions
pmt+]]+5,"oui",""),"")</f>
        <v/>
      </c>
      <c r="D564" s="467" t="s">
        <v>1692</v>
      </c>
      <c r="E564" s="455">
        <v>45600</v>
      </c>
      <c r="F564" s="468">
        <v>249.45</v>
      </c>
      <c r="G564" s="501">
        <f>IF(Tableau3453[[#This Row],[Date 
du paiement]]="",Tableau3453[[#This Row],[Montant
de la facture
CHF]],"")</f>
        <v>249.45</v>
      </c>
      <c r="H564" s="458"/>
      <c r="I564" s="459">
        <v>45603</v>
      </c>
      <c r="J564" s="460"/>
      <c r="K564" s="461"/>
      <c r="L564" s="469"/>
      <c r="M564" s="470">
        <f ca="1">IF(Tableau3453[[#This Row],[Date 
du paiement]]="",$D$4-Tableau3453[[#This Row],[Date
de la facture]],Tableau3453[[#This Row],[Date 
du paiement]]-Tableau3453[[#This Row],[Date
de la facture]])</f>
        <v>17.46942534721893</v>
      </c>
      <c r="N564" s="468">
        <f ca="1">IF(Tableau3453[[#This Row],[Date 
du paiement]]="",IF(Tableau3453[[#This Row],[Jours]]&lt;30,Tableau3453[[#This Row],[Montant
de la facture
CHF]],""),"")</f>
        <v>249.45</v>
      </c>
      <c r="O564" s="468" t="str">
        <f ca="1">IF(Tableau3453[[#This Row],[Date 
du paiement]]="",IF(Tableau3453[[#This Row],[Jours]]&gt;30,IF(Tableau3453[[#This Row],[Jours]]&lt;60,Tableau3453[[#This Row],[Montant
de la facture
CHF]],""),""),"")</f>
        <v/>
      </c>
      <c r="P564" s="468" t="str">
        <f ca="1">IF(Tableau3453[[#This Row],[Date 
du paiement]]="",IF(Tableau3453[[#This Row],[Jours]]&gt;60,Tableau3453[[#This Row],[Montant
de la facture
CHF]],""),"")</f>
        <v/>
      </c>
      <c r="Q564" s="471"/>
      <c r="R564" s="472">
        <f>Tableau3453[[#This Row],[Solde 
ouverte
fm]]</f>
        <v>249.45</v>
      </c>
      <c r="S564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565" spans="1:19" hidden="1" x14ac:dyDescent="0.25">
      <c r="A565" s="380">
        <v>240746</v>
      </c>
      <c r="B565" s="408">
        <v>30</v>
      </c>
      <c r="C565" s="381" t="str">
        <f>IF(Tableau3453[[#This Row],[Date 
du paiement]]="",IF(Tableau3453[[#This Row],[Jours]]&gt;Tableau3453[[#This Row],[Conditions
pmt+]]+5,"oui",""),"")</f>
        <v/>
      </c>
      <c r="D565" s="382" t="s">
        <v>1026</v>
      </c>
      <c r="E565" s="383">
        <v>45498</v>
      </c>
      <c r="F565" s="384">
        <v>2604.9499999999998</v>
      </c>
      <c r="G565" s="410" t="str">
        <f>IF(Tableau3453[[#This Row],[Date 
du paiement]]="",Tableau3453[[#This Row],[Montant
de la facture
CHF]],"")</f>
        <v/>
      </c>
      <c r="H565" s="411"/>
      <c r="I565" s="386">
        <v>45509</v>
      </c>
      <c r="J565" s="387">
        <v>45541</v>
      </c>
      <c r="K565" s="388" t="s">
        <v>58</v>
      </c>
      <c r="L565" s="389">
        <v>1</v>
      </c>
      <c r="M565" s="390">
        <f>IF(Tableau3453[[#This Row],[Date 
du paiement]]="",$D$4-Tableau3453[[#This Row],[Date
de la facture]],Tableau3453[[#This Row],[Date 
du paiement]]-Tableau3453[[#This Row],[Date
de la facture]])</f>
        <v>43</v>
      </c>
      <c r="N565" s="384" t="str">
        <f>IF(Tableau3453[[#This Row],[Date 
du paiement]]="",IF(Tableau3453[[#This Row],[Jours]]&lt;30,Tableau3453[[#This Row],[Montant
de la facture
CHF]],""),"")</f>
        <v/>
      </c>
      <c r="O565" s="384" t="str">
        <f>IF(Tableau3453[[#This Row],[Date 
du paiement]]="",IF(Tableau3453[[#This Row],[Jours]]&gt;30,IF(Tableau3453[[#This Row],[Jours]]&lt;60,Tableau3453[[#This Row],[Montant
de la facture
CHF]],""),""),"")</f>
        <v/>
      </c>
      <c r="P565" s="384" t="str">
        <f>IF(Tableau3453[[#This Row],[Date 
du paiement]]="",IF(Tableau3453[[#This Row],[Jours]]&gt;60,Tableau3453[[#This Row],[Montant
de la facture
CHF]],""),"")</f>
        <v/>
      </c>
      <c r="Q565" s="416"/>
      <c r="R565" s="391" t="str">
        <f>Tableau3453[[#This Row],[Solde 
ouverte
fm]]</f>
        <v/>
      </c>
      <c r="S565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6" spans="1:19" hidden="1" x14ac:dyDescent="0.25">
      <c r="A566" s="268">
        <v>240799</v>
      </c>
      <c r="B566" s="239">
        <v>30</v>
      </c>
      <c r="C566" s="352" t="str">
        <f>IF(Tableau3453[[#This Row],[Date 
du paiement]]="",IF(Tableau3453[[#This Row],[Jours]]&gt;Tableau3453[[#This Row],[Conditions
pmt+]]+5,"oui",""),"")</f>
        <v/>
      </c>
      <c r="D566" s="262" t="s">
        <v>899</v>
      </c>
      <c r="E566" s="240">
        <v>45526</v>
      </c>
      <c r="F566" s="263">
        <v>1876.85</v>
      </c>
      <c r="G566" s="242" t="str">
        <f>IF(Tableau3453[[#This Row],[Date 
du paiement]]="",Tableau3453[[#This Row],[Montant
de la facture
CHF]],"")</f>
        <v/>
      </c>
      <c r="H566" s="243"/>
      <c r="I566" s="245">
        <v>45530</v>
      </c>
      <c r="J566" s="246">
        <v>45548</v>
      </c>
      <c r="K566" s="247" t="s">
        <v>58</v>
      </c>
      <c r="L566" s="264"/>
      <c r="M566" s="265">
        <f>IF(Tableau3453[[#This Row],[Date 
du paiement]]="",$D$4-Tableau3453[[#This Row],[Date
de la facture]],Tableau3453[[#This Row],[Date 
du paiement]]-Tableau3453[[#This Row],[Date
de la facture]])</f>
        <v>22</v>
      </c>
      <c r="N566" s="263" t="str">
        <f>IF(Tableau3453[[#This Row],[Date 
du paiement]]="",IF(Tableau3453[[#This Row],[Jours]]&lt;30,Tableau3453[[#This Row],[Montant
de la facture
CHF]],""),"")</f>
        <v/>
      </c>
      <c r="O566" s="263" t="str">
        <f>IF(Tableau3453[[#This Row],[Date 
du paiement]]="",IF(Tableau3453[[#This Row],[Jours]]&gt;30,IF(Tableau3453[[#This Row],[Jours]]&lt;60,Tableau3453[[#This Row],[Montant
de la facture
CHF]],""),""),"")</f>
        <v/>
      </c>
      <c r="P566" s="263" t="str">
        <f>IF(Tableau3453[[#This Row],[Date 
du paiement]]="",IF(Tableau3453[[#This Row],[Jours]]&gt;60,Tableau3453[[#This Row],[Montant
de la facture
CHF]],""),"")</f>
        <v/>
      </c>
      <c r="Q566" s="266"/>
      <c r="R566" s="267" t="str">
        <f>Tableau3453[[#This Row],[Solde 
ouverte
fm]]</f>
        <v/>
      </c>
      <c r="S56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7" spans="1:19" hidden="1" x14ac:dyDescent="0.25">
      <c r="A567" s="268">
        <v>240588</v>
      </c>
      <c r="B567" s="239">
        <v>0</v>
      </c>
      <c r="C567" s="352" t="str">
        <f>IF(Tableau3453[[#This Row],[Date 
du paiement]]="",IF(Tableau3453[[#This Row],[Jours]]&gt;Tableau3453[[#This Row],[Conditions
pmt+]]+5,"oui",""),"")</f>
        <v/>
      </c>
      <c r="D567" s="262" t="s">
        <v>1388</v>
      </c>
      <c r="E567" s="240">
        <v>45526</v>
      </c>
      <c r="F567" s="263">
        <v>2041.4</v>
      </c>
      <c r="G567" s="242" t="str">
        <f>IF(Tableau3453[[#This Row],[Date 
du paiement]]="",Tableau3453[[#This Row],[Montant
de la facture
CHF]],"")</f>
        <v/>
      </c>
      <c r="H567" s="243"/>
      <c r="I567" s="245">
        <v>45530</v>
      </c>
      <c r="J567" s="246">
        <v>45553</v>
      </c>
      <c r="K567" s="247" t="s">
        <v>58</v>
      </c>
      <c r="L567" s="264"/>
      <c r="M567" s="265">
        <f>IF(Tableau3453[[#This Row],[Date 
du paiement]]="",$D$4-Tableau3453[[#This Row],[Date
de la facture]],Tableau3453[[#This Row],[Date 
du paiement]]-Tableau3453[[#This Row],[Date
de la facture]])</f>
        <v>27</v>
      </c>
      <c r="N567" s="263" t="str">
        <f>IF(Tableau3453[[#This Row],[Date 
du paiement]]="",IF(Tableau3453[[#This Row],[Jours]]&lt;30,Tableau3453[[#This Row],[Montant
de la facture
CHF]],""),"")</f>
        <v/>
      </c>
      <c r="O567" s="263" t="str">
        <f>IF(Tableau3453[[#This Row],[Date 
du paiement]]="",IF(Tableau3453[[#This Row],[Jours]]&gt;30,IF(Tableau3453[[#This Row],[Jours]]&lt;60,Tableau3453[[#This Row],[Montant
de la facture
CHF]],""),""),"")</f>
        <v/>
      </c>
      <c r="P567" s="263" t="str">
        <f>IF(Tableau3453[[#This Row],[Date 
du paiement]]="",IF(Tableau3453[[#This Row],[Jours]]&gt;60,Tableau3453[[#This Row],[Montant
de la facture
CHF]],""),"")</f>
        <v/>
      </c>
      <c r="Q567" s="266"/>
      <c r="R567" s="267" t="str">
        <f>Tableau3453[[#This Row],[Solde 
ouverte
fm]]</f>
        <v/>
      </c>
      <c r="S56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8" spans="1:19" hidden="1" x14ac:dyDescent="0.25">
      <c r="A568" s="268">
        <v>240704</v>
      </c>
      <c r="B568" s="239">
        <v>30</v>
      </c>
      <c r="C568" s="352" t="str">
        <f>IF(Tableau3453[[#This Row],[Date 
du paiement]]="",IF(Tableau3453[[#This Row],[Jours]]&gt;Tableau3453[[#This Row],[Conditions
pmt+]]+5,"oui",""),"")</f>
        <v/>
      </c>
      <c r="D568" s="262" t="s">
        <v>869</v>
      </c>
      <c r="E568" s="240">
        <v>45490</v>
      </c>
      <c r="F568" s="263">
        <v>3438.75</v>
      </c>
      <c r="G568" s="242" t="str">
        <f>IF(Tableau3453[[#This Row],[Date 
du paiement]]="",Tableau3453[[#This Row],[Montant
de la facture
CHF]],"")</f>
        <v/>
      </c>
      <c r="H568" s="243"/>
      <c r="I568" s="245">
        <v>45490</v>
      </c>
      <c r="J568" s="246">
        <v>45547</v>
      </c>
      <c r="K568" s="247" t="s">
        <v>58</v>
      </c>
      <c r="L568" s="264">
        <v>3</v>
      </c>
      <c r="M568" s="265">
        <f>IF(Tableau3453[[#This Row],[Date 
du paiement]]="",$D$4-Tableau3453[[#This Row],[Date
de la facture]],Tableau3453[[#This Row],[Date 
du paiement]]-Tableau3453[[#This Row],[Date
de la facture]])</f>
        <v>57</v>
      </c>
      <c r="N568" s="263" t="str">
        <f>IF(Tableau3453[[#This Row],[Date 
du paiement]]="",IF(Tableau3453[[#This Row],[Jours]]&lt;30,Tableau3453[[#This Row],[Montant
de la facture
CHF]],""),"")</f>
        <v/>
      </c>
      <c r="O568" s="263" t="str">
        <f>IF(Tableau3453[[#This Row],[Date 
du paiement]]="",IF(Tableau3453[[#This Row],[Jours]]&gt;30,IF(Tableau3453[[#This Row],[Jours]]&lt;60,Tableau3453[[#This Row],[Montant
de la facture
CHF]],""),""),"")</f>
        <v/>
      </c>
      <c r="P568" s="263" t="str">
        <f>IF(Tableau3453[[#This Row],[Date 
du paiement]]="",IF(Tableau3453[[#This Row],[Jours]]&gt;60,Tableau3453[[#This Row],[Montant
de la facture
CHF]],""),"")</f>
        <v/>
      </c>
      <c r="Q568" s="266"/>
      <c r="R568" s="267" t="str">
        <f>Tableau3453[[#This Row],[Solde 
ouverte
fm]]</f>
        <v/>
      </c>
      <c r="S56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69" spans="1:19" hidden="1" x14ac:dyDescent="0.25">
      <c r="A569" s="268">
        <v>240716</v>
      </c>
      <c r="B569" s="239">
        <v>30</v>
      </c>
      <c r="C569" s="352" t="str">
        <f>IF(Tableau3453[[#This Row],[Date 
du paiement]]="",IF(Tableau3453[[#This Row],[Jours]]&gt;Tableau3453[[#This Row],[Conditions
pmt+]]+5,"oui",""),"")</f>
        <v/>
      </c>
      <c r="D569" s="262" t="s">
        <v>924</v>
      </c>
      <c r="E569" s="240">
        <v>45490</v>
      </c>
      <c r="F569" s="263">
        <v>413.5</v>
      </c>
      <c r="G569" s="242" t="str">
        <f>IF(Tableau3453[[#This Row],[Date 
du paiement]]="",Tableau3453[[#This Row],[Montant
de la facture
CHF]],"")</f>
        <v/>
      </c>
      <c r="H569" s="243"/>
      <c r="I569" s="245">
        <v>45492</v>
      </c>
      <c r="J569" s="246">
        <v>45546</v>
      </c>
      <c r="K569" s="247" t="s">
        <v>58</v>
      </c>
      <c r="L569" s="264">
        <v>3</v>
      </c>
      <c r="M569" s="265">
        <f>IF(Tableau3453[[#This Row],[Date 
du paiement]]="",$D$4-Tableau3453[[#This Row],[Date
de la facture]],Tableau3453[[#This Row],[Date 
du paiement]]-Tableau3453[[#This Row],[Date
de la facture]])</f>
        <v>56</v>
      </c>
      <c r="N569" s="263" t="str">
        <f>IF(Tableau3453[[#This Row],[Date 
du paiement]]="",IF(Tableau3453[[#This Row],[Jours]]&lt;30,Tableau3453[[#This Row],[Montant
de la facture
CHF]],""),"")</f>
        <v/>
      </c>
      <c r="O569" s="263" t="str">
        <f>IF(Tableau3453[[#This Row],[Date 
du paiement]]="",IF(Tableau3453[[#This Row],[Jours]]&gt;30,IF(Tableau3453[[#This Row],[Jours]]&lt;60,Tableau3453[[#This Row],[Montant
de la facture
CHF]],""),""),"")</f>
        <v/>
      </c>
      <c r="P569" s="263" t="str">
        <f>IF(Tableau3453[[#This Row],[Date 
du paiement]]="",IF(Tableau3453[[#This Row],[Jours]]&gt;60,Tableau3453[[#This Row],[Montant
de la facture
CHF]],""),"")</f>
        <v/>
      </c>
      <c r="Q569" s="266"/>
      <c r="R569" s="267" t="str">
        <f>Tableau3453[[#This Row],[Solde 
ouverte
fm]]</f>
        <v/>
      </c>
      <c r="S56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0" spans="1:19" hidden="1" x14ac:dyDescent="0.25">
      <c r="A570" s="268">
        <v>240808</v>
      </c>
      <c r="B570" s="239">
        <v>30</v>
      </c>
      <c r="C570" s="352" t="str">
        <f>IF(Tableau3453[[#This Row],[Date 
du paiement]]="",IF(Tableau3453[[#This Row],[Jours]]&gt;Tableau3453[[#This Row],[Conditions
pmt+]]+5,"oui",""),"")</f>
        <v/>
      </c>
      <c r="D570" s="262" t="s">
        <v>880</v>
      </c>
      <c r="E570" s="240">
        <v>45526</v>
      </c>
      <c r="F570" s="263">
        <v>2591.5500000000002</v>
      </c>
      <c r="G570" s="242" t="str">
        <f>IF(Tableau3453[[#This Row],[Date 
du paiement]]="",Tableau3453[[#This Row],[Montant
de la facture
CHF]],"")</f>
        <v/>
      </c>
      <c r="H570" s="243"/>
      <c r="I570" s="245">
        <v>45530</v>
      </c>
      <c r="J570" s="246">
        <v>45553</v>
      </c>
      <c r="K570" s="247" t="s">
        <v>58</v>
      </c>
      <c r="L570" s="264"/>
      <c r="M570" s="265">
        <f>IF(Tableau3453[[#This Row],[Date 
du paiement]]="",$D$4-Tableau3453[[#This Row],[Date
de la facture]],Tableau3453[[#This Row],[Date 
du paiement]]-Tableau3453[[#This Row],[Date
de la facture]])</f>
        <v>27</v>
      </c>
      <c r="N570" s="263" t="str">
        <f>IF(Tableau3453[[#This Row],[Date 
du paiement]]="",IF(Tableau3453[[#This Row],[Jours]]&lt;30,Tableau3453[[#This Row],[Montant
de la facture
CHF]],""),"")</f>
        <v/>
      </c>
      <c r="O570" s="263" t="str">
        <f>IF(Tableau3453[[#This Row],[Date 
du paiement]]="",IF(Tableau3453[[#This Row],[Jours]]&gt;30,IF(Tableau3453[[#This Row],[Jours]]&lt;60,Tableau3453[[#This Row],[Montant
de la facture
CHF]],""),""),"")</f>
        <v/>
      </c>
      <c r="P570" s="263" t="str">
        <f>IF(Tableau3453[[#This Row],[Date 
du paiement]]="",IF(Tableau3453[[#This Row],[Jours]]&gt;60,Tableau3453[[#This Row],[Montant
de la facture
CHF]],""),"")</f>
        <v/>
      </c>
      <c r="Q570" s="266"/>
      <c r="R570" s="267" t="str">
        <f>Tableau3453[[#This Row],[Solde 
ouverte
fm]]</f>
        <v/>
      </c>
      <c r="S57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1" spans="1:19" hidden="1" x14ac:dyDescent="0.25">
      <c r="A571" s="268">
        <v>240809</v>
      </c>
      <c r="B571" s="239">
        <v>30</v>
      </c>
      <c r="C571" s="352" t="str">
        <f>IF(Tableau3453[[#This Row],[Date 
du paiement]]="",IF(Tableau3453[[#This Row],[Jours]]&gt;Tableau3453[[#This Row],[Conditions
pmt+]]+5,"oui",""),"")</f>
        <v/>
      </c>
      <c r="D571" s="262" t="s">
        <v>879</v>
      </c>
      <c r="E571" s="240">
        <v>45526</v>
      </c>
      <c r="F571" s="263">
        <v>683.1</v>
      </c>
      <c r="G571" s="242" t="str">
        <f>IF(Tableau3453[[#This Row],[Date 
du paiement]]="",Tableau3453[[#This Row],[Montant
de la facture
CHF]],"")</f>
        <v/>
      </c>
      <c r="H571" s="243"/>
      <c r="I571" s="245">
        <v>45530</v>
      </c>
      <c r="J571" s="246">
        <v>45562</v>
      </c>
      <c r="K571" s="247" t="s">
        <v>58</v>
      </c>
      <c r="L571" s="264"/>
      <c r="M571" s="265">
        <f>IF(Tableau3453[[#This Row],[Date 
du paiement]]="",$D$4-Tableau3453[[#This Row],[Date
de la facture]],Tableau3453[[#This Row],[Date 
du paiement]]-Tableau3453[[#This Row],[Date
de la facture]])</f>
        <v>36</v>
      </c>
      <c r="N571" s="263" t="str">
        <f>IF(Tableau3453[[#This Row],[Date 
du paiement]]="",IF(Tableau3453[[#This Row],[Jours]]&lt;30,Tableau3453[[#This Row],[Montant
de la facture
CHF]],""),"")</f>
        <v/>
      </c>
      <c r="O571" s="263" t="str">
        <f>IF(Tableau3453[[#This Row],[Date 
du paiement]]="",IF(Tableau3453[[#This Row],[Jours]]&gt;30,IF(Tableau3453[[#This Row],[Jours]]&lt;60,Tableau3453[[#This Row],[Montant
de la facture
CHF]],""),""),"")</f>
        <v/>
      </c>
      <c r="P571" s="263" t="str">
        <f>IF(Tableau3453[[#This Row],[Date 
du paiement]]="",IF(Tableau3453[[#This Row],[Jours]]&gt;60,Tableau3453[[#This Row],[Montant
de la facture
CHF]],""),"")</f>
        <v/>
      </c>
      <c r="Q571" s="266"/>
      <c r="R571" s="267" t="str">
        <f>Tableau3453[[#This Row],[Solde 
ouverte
fm]]</f>
        <v/>
      </c>
      <c r="S57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2" spans="1:19" hidden="1" x14ac:dyDescent="0.25">
      <c r="A572" s="268">
        <v>240742</v>
      </c>
      <c r="B572" s="239">
        <v>30</v>
      </c>
      <c r="C572" s="352" t="str">
        <f>IF(Tableau3453[[#This Row],[Date 
du paiement]]="",IF(Tableau3453[[#This Row],[Jours]]&gt;Tableau3453[[#This Row],[Conditions
pmt+]]+5,"oui",""),"")</f>
        <v/>
      </c>
      <c r="D572" s="262" t="s">
        <v>927</v>
      </c>
      <c r="E572" s="240">
        <v>45496</v>
      </c>
      <c r="F572" s="263">
        <v>982.5</v>
      </c>
      <c r="G572" s="242" t="str">
        <f>IF(Tableau3453[[#This Row],[Date 
du paiement]]="",Tableau3453[[#This Row],[Montant
de la facture
CHF]],"")</f>
        <v/>
      </c>
      <c r="H572" s="243"/>
      <c r="I572" s="245">
        <v>45499</v>
      </c>
      <c r="J572" s="246">
        <v>45538</v>
      </c>
      <c r="K572" s="247" t="s">
        <v>58</v>
      </c>
      <c r="L572" s="264">
        <v>1</v>
      </c>
      <c r="M572" s="265">
        <f>IF(Tableau3453[[#This Row],[Date 
du paiement]]="",$D$4-Tableau3453[[#This Row],[Date
de la facture]],Tableau3453[[#This Row],[Date 
du paiement]]-Tableau3453[[#This Row],[Date
de la facture]])</f>
        <v>42</v>
      </c>
      <c r="N572" s="263" t="str">
        <f>IF(Tableau3453[[#This Row],[Date 
du paiement]]="",IF(Tableau3453[[#This Row],[Jours]]&lt;30,Tableau3453[[#This Row],[Montant
de la facture
CHF]],""),"")</f>
        <v/>
      </c>
      <c r="O572" s="263" t="str">
        <f>IF(Tableau3453[[#This Row],[Date 
du paiement]]="",IF(Tableau3453[[#This Row],[Jours]]&gt;30,IF(Tableau3453[[#This Row],[Jours]]&lt;60,Tableau3453[[#This Row],[Montant
de la facture
CHF]],""),""),"")</f>
        <v/>
      </c>
      <c r="P572" s="263" t="str">
        <f>IF(Tableau3453[[#This Row],[Date 
du paiement]]="",IF(Tableau3453[[#This Row],[Jours]]&gt;60,Tableau3453[[#This Row],[Montant
de la facture
CHF]],""),"")</f>
        <v/>
      </c>
      <c r="Q572" s="266"/>
      <c r="R572" s="267" t="str">
        <f>Tableau3453[[#This Row],[Solde 
ouverte
fm]]</f>
        <v/>
      </c>
      <c r="S57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3" spans="1:19" hidden="1" x14ac:dyDescent="0.25">
      <c r="A573" s="268">
        <v>240686</v>
      </c>
      <c r="B573" s="239">
        <v>30</v>
      </c>
      <c r="C573" s="352" t="str">
        <f>IF(Tableau3453[[#This Row],[Date 
du paiement]]="",IF(Tableau3453[[#This Row],[Jours]]&gt;Tableau3453[[#This Row],[Conditions
pmt+]]+5,"oui",""),"")</f>
        <v/>
      </c>
      <c r="D573" s="262" t="s">
        <v>1183</v>
      </c>
      <c r="E573" s="240">
        <v>45495</v>
      </c>
      <c r="F573" s="263">
        <v>4295.6000000000004</v>
      </c>
      <c r="G573" s="242" t="str">
        <f>IF(Tableau3453[[#This Row],[Date 
du paiement]]="",Tableau3453[[#This Row],[Montant
de la facture
CHF]],"")</f>
        <v/>
      </c>
      <c r="H573" s="243"/>
      <c r="I573" s="245">
        <v>45496</v>
      </c>
      <c r="J573" s="246">
        <v>45541</v>
      </c>
      <c r="K573" s="247" t="s">
        <v>58</v>
      </c>
      <c r="L573" s="264">
        <v>2</v>
      </c>
      <c r="M573" s="265">
        <f>IF(Tableau3453[[#This Row],[Date 
du paiement]]="",$D$4-Tableau3453[[#This Row],[Date
de la facture]],Tableau3453[[#This Row],[Date 
du paiement]]-Tableau3453[[#This Row],[Date
de la facture]])</f>
        <v>46</v>
      </c>
      <c r="N573" s="263" t="str">
        <f>IF(Tableau3453[[#This Row],[Date 
du paiement]]="",IF(Tableau3453[[#This Row],[Jours]]&lt;30,Tableau3453[[#This Row],[Montant
de la facture
CHF]],""),"")</f>
        <v/>
      </c>
      <c r="O573" s="263" t="str">
        <f>IF(Tableau3453[[#This Row],[Date 
du paiement]]="",IF(Tableau3453[[#This Row],[Jours]]&gt;30,IF(Tableau3453[[#This Row],[Jours]]&lt;60,Tableau3453[[#This Row],[Montant
de la facture
CHF]],""),""),"")</f>
        <v/>
      </c>
      <c r="P573" s="263" t="str">
        <f>IF(Tableau3453[[#This Row],[Date 
du paiement]]="",IF(Tableau3453[[#This Row],[Jours]]&gt;60,Tableau3453[[#This Row],[Montant
de la facture
CHF]],""),"")</f>
        <v/>
      </c>
      <c r="Q573" s="266" t="s">
        <v>1457</v>
      </c>
      <c r="R573" s="267" t="str">
        <f>Tableau3453[[#This Row],[Solde 
ouverte
fm]]</f>
        <v/>
      </c>
      <c r="S57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4" spans="1:19" hidden="1" x14ac:dyDescent="0.25">
      <c r="A574" s="268" t="s">
        <v>1682</v>
      </c>
      <c r="B574" s="239">
        <v>30</v>
      </c>
      <c r="C574" s="406" t="str">
        <f>IF(Tableau3453[[#This Row],[Date 
du paiement]]="",IF(Tableau3453[[#This Row],[Jours]]&gt;Tableau3453[[#This Row],[Conditions
pmt+]]+5,"oui",""),"")</f>
        <v/>
      </c>
      <c r="D574" s="262" t="s">
        <v>1107</v>
      </c>
      <c r="E574" s="240">
        <v>45576</v>
      </c>
      <c r="F574" s="263">
        <f>2302-522.8</f>
        <v>1779.2</v>
      </c>
      <c r="G574" s="396" t="str">
        <f>IF(Tableau3453[[#This Row],[Date 
du paiement]]="",Tableau3453[[#This Row],[Montant
de la facture
CHF]],"")</f>
        <v/>
      </c>
      <c r="H574" s="243" t="s">
        <v>1684</v>
      </c>
      <c r="I574" s="245">
        <v>45580</v>
      </c>
      <c r="J574" s="246">
        <v>45548</v>
      </c>
      <c r="K574" s="247" t="s">
        <v>58</v>
      </c>
      <c r="L574" s="264"/>
      <c r="M574" s="265">
        <f>IF(Tableau3453[[#This Row],[Date 
du paiement]]="",$D$4-Tableau3453[[#This Row],[Date
de la facture]],Tableau3453[[#This Row],[Date 
du paiement]]-Tableau3453[[#This Row],[Date
de la facture]])</f>
        <v>-28</v>
      </c>
      <c r="N574" s="263" t="str">
        <f>IF(Tableau3453[[#This Row],[Date 
du paiement]]="",IF(Tableau3453[[#This Row],[Jours]]&lt;30,Tableau3453[[#This Row],[Montant
de la facture
CHF]],""),"")</f>
        <v/>
      </c>
      <c r="O574" s="263" t="str">
        <f>IF(Tableau3453[[#This Row],[Date 
du paiement]]="",IF(Tableau3453[[#This Row],[Jours]]&gt;30,IF(Tableau3453[[#This Row],[Jours]]&lt;60,Tableau3453[[#This Row],[Montant
de la facture
CHF]],""),""),"")</f>
        <v/>
      </c>
      <c r="P574" s="263" t="str">
        <f>IF(Tableau3453[[#This Row],[Date 
du paiement]]="",IF(Tableau3453[[#This Row],[Jours]]&gt;60,Tableau3453[[#This Row],[Montant
de la facture
CHF]],""),"")</f>
        <v/>
      </c>
      <c r="Q574" s="266"/>
      <c r="R574" s="267" t="str">
        <f>Tableau3453[[#This Row],[Solde 
ouverte
fm]]</f>
        <v/>
      </c>
      <c r="S5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5" spans="1:19" hidden="1" x14ac:dyDescent="0.25">
      <c r="A575" s="473">
        <v>240628</v>
      </c>
      <c r="B575" s="454" t="s">
        <v>860</v>
      </c>
      <c r="C575" s="495" t="str">
        <f>IF(Tableau3453[[#This Row],[Date 
du paiement]]="",IF(Tableau3453[[#This Row],[Jours]]&gt;Tableau3453[[#This Row],[Conditions
pmt+]]+5,"oui",""),"")</f>
        <v/>
      </c>
      <c r="D575" s="498" t="s">
        <v>1699</v>
      </c>
      <c r="E575" s="455">
        <v>45589</v>
      </c>
      <c r="F575" s="499">
        <v>56878.400000000001</v>
      </c>
      <c r="G575" s="457" t="str">
        <f>IF(Tableau3453[[#This Row],[Date 
du paiement]]="",Tableau3453[[#This Row],[Montant
de la facture
CHF]],"")</f>
        <v/>
      </c>
      <c r="H575" s="458"/>
      <c r="I575" s="459">
        <v>45593</v>
      </c>
      <c r="J575" s="460">
        <v>45615</v>
      </c>
      <c r="K575" s="461" t="s">
        <v>58</v>
      </c>
      <c r="L575" s="469"/>
      <c r="M575" s="470">
        <f>IF(Tableau3453[[#This Row],[Date 
du paiement]]="",$D$4-Tableau3453[[#This Row],[Date
de la facture]],Tableau3453[[#This Row],[Date 
du paiement]]-Tableau3453[[#This Row],[Date
de la facture]])</f>
        <v>26</v>
      </c>
      <c r="N575" s="468" t="str">
        <f>IF(Tableau3453[[#This Row],[Date 
du paiement]]="",IF(Tableau3453[[#This Row],[Jours]]&lt;30,Tableau3453[[#This Row],[Montant
de la facture
CHF]],""),"")</f>
        <v/>
      </c>
      <c r="O575" s="468" t="str">
        <f>IF(Tableau3453[[#This Row],[Date 
du paiement]]="",IF(Tableau3453[[#This Row],[Jours]]&gt;30,IF(Tableau3453[[#This Row],[Jours]]&lt;60,Tableau3453[[#This Row],[Montant
de la facture
CHF]],""),""),"")</f>
        <v/>
      </c>
      <c r="P575" s="468" t="str">
        <f>IF(Tableau3453[[#This Row],[Date 
du paiement]]="",IF(Tableau3453[[#This Row],[Jours]]&gt;60,Tableau3453[[#This Row],[Montant
de la facture
CHF]],""),"")</f>
        <v/>
      </c>
      <c r="Q575" s="471"/>
      <c r="R575" s="472" t="str">
        <f>Tableau3453[[#This Row],[Solde 
ouverte
fm]]</f>
        <v/>
      </c>
      <c r="S575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6" spans="1:19" hidden="1" x14ac:dyDescent="0.25">
      <c r="A576" s="268">
        <v>240872</v>
      </c>
      <c r="B576" s="239" t="s">
        <v>860</v>
      </c>
      <c r="C576" s="495" t="str">
        <f>IF(Tableau3453[[#This Row],[Date 
du paiement]]="",IF(Tableau3453[[#This Row],[Jours]]&gt;Tableau3453[[#This Row],[Conditions
pmt+]]+5,"oui",""),"")</f>
        <v/>
      </c>
      <c r="D576" s="498" t="s">
        <v>869</v>
      </c>
      <c r="E576" s="240">
        <v>45548</v>
      </c>
      <c r="F576" s="499">
        <v>1118.55</v>
      </c>
      <c r="G576" s="457" t="str">
        <f>IF(Tableau3453[[#This Row],[Date 
du paiement]]="",Tableau3453[[#This Row],[Montant
de la facture
CHF]],"")</f>
        <v/>
      </c>
      <c r="H576" s="243"/>
      <c r="I576" s="245">
        <v>45548</v>
      </c>
      <c r="J576" s="246">
        <v>45610</v>
      </c>
      <c r="K576" s="247" t="s">
        <v>58</v>
      </c>
      <c r="L576" s="264">
        <v>4</v>
      </c>
      <c r="M576" s="265">
        <f>IF(Tableau3453[[#This Row],[Date 
du paiement]]="",$D$4-Tableau3453[[#This Row],[Date
de la facture]],Tableau3453[[#This Row],[Date 
du paiement]]-Tableau3453[[#This Row],[Date
de la facture]])</f>
        <v>62</v>
      </c>
      <c r="N576" s="263" t="str">
        <f>IF(Tableau3453[[#This Row],[Date 
du paiement]]="",IF(Tableau3453[[#This Row],[Jours]]&lt;30,Tableau3453[[#This Row],[Montant
de la facture
CHF]],""),"")</f>
        <v/>
      </c>
      <c r="O576" s="263" t="str">
        <f>IF(Tableau3453[[#This Row],[Date 
du paiement]]="",IF(Tableau3453[[#This Row],[Jours]]&gt;30,IF(Tableau3453[[#This Row],[Jours]]&lt;60,Tableau3453[[#This Row],[Montant
de la facture
CHF]],""),""),"")</f>
        <v/>
      </c>
      <c r="P576" s="263" t="str">
        <f>IF(Tableau3453[[#This Row],[Date 
du paiement]]="",IF(Tableau3453[[#This Row],[Jours]]&gt;60,Tableau3453[[#This Row],[Montant
de la facture
CHF]],""),"")</f>
        <v/>
      </c>
      <c r="Q576" s="266"/>
      <c r="R576" s="267" t="str">
        <f>Tableau3453[[#This Row],[Solde 
ouverte
fm]]</f>
        <v/>
      </c>
      <c r="S57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7" spans="1:19" hidden="1" x14ac:dyDescent="0.25">
      <c r="A577" s="380">
        <v>240813</v>
      </c>
      <c r="B577" s="408">
        <v>30</v>
      </c>
      <c r="C577" s="381" t="str">
        <f>IF(Tableau3453[[#This Row],[Date 
du paiement]]="",IF(Tableau3453[[#This Row],[Jours]]&gt;Tableau3453[[#This Row],[Conditions
pmt+]]+5,"oui",""),"")</f>
        <v/>
      </c>
      <c r="D577" s="382" t="s">
        <v>1117</v>
      </c>
      <c r="E577" s="383">
        <v>45527</v>
      </c>
      <c r="F577" s="384">
        <v>2345.25</v>
      </c>
      <c r="G577" s="410" t="str">
        <f>IF(Tableau3453[[#This Row],[Date 
du paiement]]="",Tableau3453[[#This Row],[Montant
de la facture
CHF]],"")</f>
        <v/>
      </c>
      <c r="H577" s="411"/>
      <c r="I577" s="386">
        <v>45530</v>
      </c>
      <c r="J577" s="387">
        <v>45559</v>
      </c>
      <c r="K577" s="388" t="s">
        <v>58</v>
      </c>
      <c r="L577" s="389"/>
      <c r="M577" s="390">
        <f>IF(Tableau3453[[#This Row],[Date 
du paiement]]="",$D$4-Tableau3453[[#This Row],[Date
de la facture]],Tableau3453[[#This Row],[Date 
du paiement]]-Tableau3453[[#This Row],[Date
de la facture]])</f>
        <v>32</v>
      </c>
      <c r="N577" s="384" t="str">
        <f>IF(Tableau3453[[#This Row],[Date 
du paiement]]="",IF(Tableau3453[[#This Row],[Jours]]&lt;30,Tableau3453[[#This Row],[Montant
de la facture
CHF]],""),"")</f>
        <v/>
      </c>
      <c r="O577" s="384" t="str">
        <f>IF(Tableau3453[[#This Row],[Date 
du paiement]]="",IF(Tableau3453[[#This Row],[Jours]]&gt;30,IF(Tableau3453[[#This Row],[Jours]]&lt;60,Tableau3453[[#This Row],[Montant
de la facture
CHF]],""),""),"")</f>
        <v/>
      </c>
      <c r="P577" s="384" t="str">
        <f>IF(Tableau3453[[#This Row],[Date 
du paiement]]="",IF(Tableau3453[[#This Row],[Jours]]&gt;60,Tableau3453[[#This Row],[Montant
de la facture
CHF]],""),"")</f>
        <v/>
      </c>
      <c r="Q577" s="416"/>
      <c r="R577" s="391" t="str">
        <f>Tableau3453[[#This Row],[Solde 
ouverte
fm]]</f>
        <v/>
      </c>
      <c r="S577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8" spans="1:19" hidden="1" x14ac:dyDescent="0.25">
      <c r="A578" s="323">
        <v>240753</v>
      </c>
      <c r="B578" s="324">
        <v>30</v>
      </c>
      <c r="C578" s="352" t="str">
        <f>IF(Tableau3453[[#This Row],[Date 
du paiement]]="",IF(Tableau3453[[#This Row],[Jours]]&gt;Tableau3453[[#This Row],[Conditions
pmt+]]+5,"oui",""),"")</f>
        <v/>
      </c>
      <c r="D578" s="325" t="s">
        <v>927</v>
      </c>
      <c r="E578" s="326">
        <v>45509</v>
      </c>
      <c r="F578" s="327">
        <v>519.35</v>
      </c>
      <c r="G578" s="242" t="str">
        <f>IF(Tableau3453[[#This Row],[Date 
du paiement]]="",Tableau3453[[#This Row],[Montant
de la facture
CHF]],"")</f>
        <v/>
      </c>
      <c r="H578" s="328"/>
      <c r="I578" s="245">
        <v>45509</v>
      </c>
      <c r="J578" s="329">
        <v>45541</v>
      </c>
      <c r="K578" s="330" t="s">
        <v>58</v>
      </c>
      <c r="L578" s="331"/>
      <c r="M578" s="332">
        <f>IF(Tableau3453[[#This Row],[Date 
du paiement]]="",$D$4-Tableau3453[[#This Row],[Date
de la facture]],Tableau3453[[#This Row],[Date 
du paiement]]-Tableau3453[[#This Row],[Date
de la facture]])</f>
        <v>32</v>
      </c>
      <c r="N578" s="327" t="str">
        <f>IF(Tableau3453[[#This Row],[Date 
du paiement]]="",IF(Tableau3453[[#This Row],[Jours]]&lt;30,Tableau3453[[#This Row],[Montant
de la facture
CHF]],""),"")</f>
        <v/>
      </c>
      <c r="O578" s="327" t="str">
        <f>IF(Tableau3453[[#This Row],[Date 
du paiement]]="",IF(Tableau3453[[#This Row],[Jours]]&gt;30,IF(Tableau3453[[#This Row],[Jours]]&lt;60,Tableau3453[[#This Row],[Montant
de la facture
CHF]],""),""),"")</f>
        <v/>
      </c>
      <c r="P578" s="327" t="str">
        <f>IF(Tableau3453[[#This Row],[Date 
du paiement]]="",IF(Tableau3453[[#This Row],[Jours]]&gt;60,Tableau3453[[#This Row],[Montant
de la facture
CHF]],""),"")</f>
        <v/>
      </c>
      <c r="Q578" s="333"/>
      <c r="R578" s="334" t="str">
        <f>Tableau3453[[#This Row],[Solde 
ouverte
fm]]</f>
        <v/>
      </c>
      <c r="S578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79" spans="1:19" hidden="1" x14ac:dyDescent="0.25">
      <c r="A579" s="323">
        <v>240771</v>
      </c>
      <c r="B579" s="324">
        <v>30</v>
      </c>
      <c r="C579" s="352" t="str">
        <f>IF(Tableau3453[[#This Row],[Date 
du paiement]]="",IF(Tableau3453[[#This Row],[Jours]]&gt;Tableau3453[[#This Row],[Conditions
pmt+]]+5,"oui",""),"")</f>
        <v/>
      </c>
      <c r="D579" s="325" t="s">
        <v>927</v>
      </c>
      <c r="E579" s="326">
        <v>45512</v>
      </c>
      <c r="F579" s="327">
        <v>491.25</v>
      </c>
      <c r="G579" s="242" t="str">
        <f>IF(Tableau3453[[#This Row],[Date 
du paiement]]="",Tableau3453[[#This Row],[Montant
de la facture
CHF]],"")</f>
        <v/>
      </c>
      <c r="H579" s="328"/>
      <c r="I579" s="245">
        <v>45513</v>
      </c>
      <c r="J579" s="329">
        <v>45541</v>
      </c>
      <c r="K579" s="330" t="s">
        <v>58</v>
      </c>
      <c r="L579" s="331"/>
      <c r="M579" s="332">
        <f>IF(Tableau3453[[#This Row],[Date 
du paiement]]="",$D$4-Tableau3453[[#This Row],[Date
de la facture]],Tableau3453[[#This Row],[Date 
du paiement]]-Tableau3453[[#This Row],[Date
de la facture]])</f>
        <v>29</v>
      </c>
      <c r="N579" s="327" t="str">
        <f>IF(Tableau3453[[#This Row],[Date 
du paiement]]="",IF(Tableau3453[[#This Row],[Jours]]&lt;30,Tableau3453[[#This Row],[Montant
de la facture
CHF]],""),"")</f>
        <v/>
      </c>
      <c r="O579" s="327" t="str">
        <f>IF(Tableau3453[[#This Row],[Date 
du paiement]]="",IF(Tableau3453[[#This Row],[Jours]]&gt;30,IF(Tableau3453[[#This Row],[Jours]]&lt;60,Tableau3453[[#This Row],[Montant
de la facture
CHF]],""),""),"")</f>
        <v/>
      </c>
      <c r="P579" s="327" t="str">
        <f>IF(Tableau3453[[#This Row],[Date 
du paiement]]="",IF(Tableau3453[[#This Row],[Jours]]&gt;60,Tableau3453[[#This Row],[Montant
de la facture
CHF]],""),"")</f>
        <v/>
      </c>
      <c r="Q579" s="333"/>
      <c r="R579" s="334" t="str">
        <f>Tableau3453[[#This Row],[Solde 
ouverte
fm]]</f>
        <v/>
      </c>
      <c r="S579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0" spans="1:19" hidden="1" x14ac:dyDescent="0.25">
      <c r="A580" s="323">
        <v>240774</v>
      </c>
      <c r="B580" s="324">
        <v>30</v>
      </c>
      <c r="C580" s="352" t="str">
        <f>IF(Tableau3453[[#This Row],[Date 
du paiement]]="",IF(Tableau3453[[#This Row],[Jours]]&gt;Tableau3453[[#This Row],[Conditions
pmt+]]+5,"oui",""),"")</f>
        <v/>
      </c>
      <c r="D580" s="325" t="s">
        <v>927</v>
      </c>
      <c r="E580" s="326">
        <v>45513</v>
      </c>
      <c r="F580" s="327">
        <v>295.39999999999998</v>
      </c>
      <c r="G580" s="242" t="str">
        <f>IF(Tableau3453[[#This Row],[Date 
du paiement]]="",Tableau3453[[#This Row],[Montant
de la facture
CHF]],"")</f>
        <v/>
      </c>
      <c r="H580" s="328"/>
      <c r="I580" s="245">
        <v>45513</v>
      </c>
      <c r="J580" s="329">
        <v>45541</v>
      </c>
      <c r="K580" s="330" t="s">
        <v>58</v>
      </c>
      <c r="L580" s="331"/>
      <c r="M580" s="332">
        <f>IF(Tableau3453[[#This Row],[Date 
du paiement]]="",$D$4-Tableau3453[[#This Row],[Date
de la facture]],Tableau3453[[#This Row],[Date 
du paiement]]-Tableau3453[[#This Row],[Date
de la facture]])</f>
        <v>28</v>
      </c>
      <c r="N580" s="327" t="str">
        <f>IF(Tableau3453[[#This Row],[Date 
du paiement]]="",IF(Tableau3453[[#This Row],[Jours]]&lt;30,Tableau3453[[#This Row],[Montant
de la facture
CHF]],""),"")</f>
        <v/>
      </c>
      <c r="O580" s="327" t="str">
        <f>IF(Tableau3453[[#This Row],[Date 
du paiement]]="",IF(Tableau3453[[#This Row],[Jours]]&gt;30,IF(Tableau3453[[#This Row],[Jours]]&lt;60,Tableau3453[[#This Row],[Montant
de la facture
CHF]],""),""),"")</f>
        <v/>
      </c>
      <c r="P580" s="327" t="str">
        <f>IF(Tableau3453[[#This Row],[Date 
du paiement]]="",IF(Tableau3453[[#This Row],[Jours]]&gt;60,Tableau3453[[#This Row],[Montant
de la facture
CHF]],""),"")</f>
        <v/>
      </c>
      <c r="Q580" s="333"/>
      <c r="R580" s="334" t="str">
        <f>Tableau3453[[#This Row],[Solde 
ouverte
fm]]</f>
        <v/>
      </c>
      <c r="S580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1" spans="1:19" hidden="1" x14ac:dyDescent="0.25">
      <c r="A581" s="323">
        <v>240886</v>
      </c>
      <c r="B581" s="324">
        <v>30</v>
      </c>
      <c r="C581" s="352" t="str">
        <f>IF(Tableau3453[[#This Row],[Date 
du paiement]]="",IF(Tableau3453[[#This Row],[Jours]]&gt;Tableau3453[[#This Row],[Conditions
pmt+]]+5,"oui",""),"")</f>
        <v/>
      </c>
      <c r="D581" s="393" t="s">
        <v>1016</v>
      </c>
      <c r="E581" s="326">
        <v>45553</v>
      </c>
      <c r="F581" s="398">
        <v>854.7</v>
      </c>
      <c r="G581" s="242" t="str">
        <f>IF(Tableau3453[[#This Row],[Date 
du paiement]]="",Tableau3453[[#This Row],[Montant
de la facture
CHF]],"")</f>
        <v/>
      </c>
      <c r="H581" s="328"/>
      <c r="I581" s="394">
        <v>45560</v>
      </c>
      <c r="J581" s="329">
        <v>45567</v>
      </c>
      <c r="K581" s="330" t="s">
        <v>58</v>
      </c>
      <c r="L581" s="331"/>
      <c r="M581" s="332">
        <f>IF(Tableau3453[[#This Row],[Date 
du paiement]]="",$D$4-Tableau3453[[#This Row],[Date
de la facture]],Tableau3453[[#This Row],[Date 
du paiement]]-Tableau3453[[#This Row],[Date
de la facture]])</f>
        <v>14</v>
      </c>
      <c r="N581" s="327" t="str">
        <f>IF(Tableau3453[[#This Row],[Date 
du paiement]]="",IF(Tableau3453[[#This Row],[Jours]]&lt;30,Tableau3453[[#This Row],[Montant
de la facture
CHF]],""),"")</f>
        <v/>
      </c>
      <c r="O581" s="327" t="str">
        <f>IF(Tableau3453[[#This Row],[Date 
du paiement]]="",IF(Tableau3453[[#This Row],[Jours]]&gt;30,IF(Tableau3453[[#This Row],[Jours]]&lt;60,Tableau3453[[#This Row],[Montant
de la facture
CHF]],""),""),"")</f>
        <v/>
      </c>
      <c r="P581" s="327" t="str">
        <f>IF(Tableau3453[[#This Row],[Date 
du paiement]]="",IF(Tableau3453[[#This Row],[Jours]]&gt;60,Tableau3453[[#This Row],[Montant
de la facture
CHF]],""),"")</f>
        <v/>
      </c>
      <c r="Q581" s="333"/>
      <c r="R581" s="334" t="str">
        <f>Tableau3453[[#This Row],[Solde 
ouverte
fm]]</f>
        <v/>
      </c>
      <c r="S581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2" spans="1:19" hidden="1" x14ac:dyDescent="0.25">
      <c r="A582" s="268">
        <v>240819</v>
      </c>
      <c r="B582" s="239" t="s">
        <v>860</v>
      </c>
      <c r="C582" s="352" t="str">
        <f>IF(Tableau3453[[#This Row],[Date 
du paiement]]="",IF(Tableau3453[[#This Row],[Jours]]&gt;Tableau3453[[#This Row],[Conditions
pmt+]]+5,"oui",""),"")</f>
        <v/>
      </c>
      <c r="D582" s="262" t="s">
        <v>899</v>
      </c>
      <c r="E582" s="240">
        <v>45530</v>
      </c>
      <c r="F582" s="263">
        <v>2870.85</v>
      </c>
      <c r="G582" s="242" t="str">
        <f>IF(Tableau3453[[#This Row],[Date 
du paiement]]="",Tableau3453[[#This Row],[Montant
de la facture
CHF]],"")</f>
        <v/>
      </c>
      <c r="H582" s="243"/>
      <c r="I582" s="245">
        <v>45531</v>
      </c>
      <c r="J582" s="246">
        <v>45565</v>
      </c>
      <c r="K582" s="247" t="s">
        <v>58</v>
      </c>
      <c r="L582" s="264"/>
      <c r="M582" s="265">
        <f>IF(Tableau3453[[#This Row],[Date 
du paiement]]="",$D$4-Tableau3453[[#This Row],[Date
de la facture]],Tableau3453[[#This Row],[Date 
du paiement]]-Tableau3453[[#This Row],[Date
de la facture]])</f>
        <v>35</v>
      </c>
      <c r="N582" s="263" t="str">
        <f>IF(Tableau3453[[#This Row],[Date 
du paiement]]="",IF(Tableau3453[[#This Row],[Jours]]&lt;30,Tableau3453[[#This Row],[Montant
de la facture
CHF]],""),"")</f>
        <v/>
      </c>
      <c r="O582" s="263" t="str">
        <f>IF(Tableau3453[[#This Row],[Date 
du paiement]]="",IF(Tableau3453[[#This Row],[Jours]]&gt;30,IF(Tableau3453[[#This Row],[Jours]]&lt;60,Tableau3453[[#This Row],[Montant
de la facture
CHF]],""),""),"")</f>
        <v/>
      </c>
      <c r="P582" s="263" t="str">
        <f>IF(Tableau3453[[#This Row],[Date 
du paiement]]="",IF(Tableau3453[[#This Row],[Jours]]&gt;60,Tableau3453[[#This Row],[Montant
de la facture
CHF]],""),"")</f>
        <v/>
      </c>
      <c r="Q582" s="266"/>
      <c r="R582" s="267" t="str">
        <f>Tableau3453[[#This Row],[Solde 
ouverte
fm]]</f>
        <v/>
      </c>
      <c r="S5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3" spans="1:19" hidden="1" x14ac:dyDescent="0.25">
      <c r="A583" s="238">
        <v>15</v>
      </c>
      <c r="B583" s="239" t="s">
        <v>860</v>
      </c>
      <c r="C583" s="352" t="str">
        <f>IF(Tableau3453[[#This Row],[Date 
du paiement]]="",IF(Tableau3453[[#This Row],[Jours]]&gt;Tableau3453[[#This Row],[Conditions
pmt+]]+5,"oui",""),"")</f>
        <v/>
      </c>
      <c r="D583" s="251" t="s">
        <v>1262</v>
      </c>
      <c r="E583" s="240">
        <v>45467</v>
      </c>
      <c r="F583" s="263">
        <v>-174.05</v>
      </c>
      <c r="G583" s="242" t="str">
        <f>IF(Tableau3453[[#This Row],[Date 
du paiement]]="",Tableau3453[[#This Row],[Montant
de la facture
CHF]],"")</f>
        <v/>
      </c>
      <c r="H583" s="243" t="s">
        <v>1655</v>
      </c>
      <c r="I583" s="245">
        <v>45467</v>
      </c>
      <c r="J583" s="246">
        <v>45582</v>
      </c>
      <c r="K583" s="247" t="s">
        <v>58</v>
      </c>
      <c r="L583" s="321"/>
      <c r="M583" s="248">
        <f>IF(Tableau3453[[#This Row],[Date 
du paiement]]="",$D$4-Tableau3453[[#This Row],[Date
de la facture]],Tableau3453[[#This Row],[Date 
du paiement]]-Tableau3453[[#This Row],[Date
de la facture]])</f>
        <v>115</v>
      </c>
      <c r="N583" s="241" t="str">
        <f>IF(Tableau3453[[#This Row],[Date 
du paiement]]="",IF(Tableau3453[[#This Row],[Jours]]&lt;30,Tableau3453[[#This Row],[Montant
de la facture
CHF]],""),"")</f>
        <v/>
      </c>
      <c r="O583" s="241" t="str">
        <f>IF(Tableau3453[[#This Row],[Date 
du paiement]]="",IF(Tableau3453[[#This Row],[Jours]]&gt;30,IF(Tableau3453[[#This Row],[Jours]]&lt;60,Tableau3453[[#This Row],[Montant
de la facture
CHF]],""),""),"")</f>
        <v/>
      </c>
      <c r="P583" s="241" t="str">
        <f>IF(Tableau3453[[#This Row],[Date 
du paiement]]="",IF(Tableau3453[[#This Row],[Jours]]&gt;60,Tableau3453[[#This Row],[Montant
de la facture
CHF]],""),"")</f>
        <v/>
      </c>
      <c r="Q583" s="249"/>
      <c r="R583" s="250" t="str">
        <f>Tableau3453[[#This Row],[Solde 
ouverte
fm]]</f>
        <v/>
      </c>
      <c r="S5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4" spans="1:19" hidden="1" x14ac:dyDescent="0.25">
      <c r="A584" s="380">
        <v>240821</v>
      </c>
      <c r="B584" s="408">
        <v>30</v>
      </c>
      <c r="C584" s="381" t="str">
        <f>IF(Tableau3453[[#This Row],[Date 
du paiement]]="",IF(Tableau3453[[#This Row],[Jours]]&gt;Tableau3453[[#This Row],[Conditions
pmt+]]+5,"oui",""),"")</f>
        <v/>
      </c>
      <c r="D584" s="382" t="s">
        <v>879</v>
      </c>
      <c r="E584" s="383">
        <v>45530</v>
      </c>
      <c r="F584" s="384">
        <v>64.8</v>
      </c>
      <c r="G584" s="410" t="str">
        <f>IF(Tableau3453[[#This Row],[Date 
du paiement]]="",Tableau3453[[#This Row],[Montant
de la facture
CHF]],"")</f>
        <v/>
      </c>
      <c r="H584" s="411"/>
      <c r="I584" s="386">
        <v>45530</v>
      </c>
      <c r="J584" s="387">
        <v>45562</v>
      </c>
      <c r="K584" s="388" t="s">
        <v>58</v>
      </c>
      <c r="L584" s="389"/>
      <c r="M584" s="390">
        <f>IF(Tableau3453[[#This Row],[Date 
du paiement]]="",$D$4-Tableau3453[[#This Row],[Date
de la facture]],Tableau3453[[#This Row],[Date 
du paiement]]-Tableau3453[[#This Row],[Date
de la facture]])</f>
        <v>32</v>
      </c>
      <c r="N584" s="345" t="str">
        <f>IF(Tableau3453[[#This Row],[Date 
du paiement]]="",IF(Tableau3453[[#This Row],[Jours]]&lt;30,Tableau3453[[#This Row],[Montant
de la facture
CHF]],""),"")</f>
        <v/>
      </c>
      <c r="O584" s="345" t="str">
        <f>IF(Tableau3453[[#This Row],[Date 
du paiement]]="",IF(Tableau3453[[#This Row],[Jours]]&gt;30,IF(Tableau3453[[#This Row],[Jours]]&lt;60,Tableau3453[[#This Row],[Montant
de la facture
CHF]],""),""),"")</f>
        <v/>
      </c>
      <c r="P584" s="345" t="str">
        <f>IF(Tableau3453[[#This Row],[Date 
du paiement]]="",IF(Tableau3453[[#This Row],[Jours]]&gt;60,Tableau3453[[#This Row],[Montant
de la facture
CHF]],""),"")</f>
        <v/>
      </c>
      <c r="Q584" s="351"/>
      <c r="R584" s="391" t="str">
        <f>Tableau3453[[#This Row],[Solde 
ouverte
fm]]</f>
        <v/>
      </c>
      <c r="S584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5" spans="1:19" hidden="1" x14ac:dyDescent="0.25">
      <c r="A585" s="268">
        <v>240806</v>
      </c>
      <c r="B585" s="239">
        <v>0</v>
      </c>
      <c r="C585" s="352" t="str">
        <f>IF(Tableau3453[[#This Row],[Date 
du paiement]]="",IF(Tableau3453[[#This Row],[Jours]]&gt;Tableau3453[[#This Row],[Conditions
pmt+]]+5,"oui",""),"")</f>
        <v/>
      </c>
      <c r="D585" s="262" t="s">
        <v>1389</v>
      </c>
      <c r="E585" s="240">
        <v>45527</v>
      </c>
      <c r="F585" s="263">
        <v>952.9</v>
      </c>
      <c r="G585" s="242" t="str">
        <f>IF(Tableau3453[[#This Row],[Date 
du paiement]]="",Tableau3453[[#This Row],[Montant
de la facture
CHF]],"")</f>
        <v/>
      </c>
      <c r="H585" s="243"/>
      <c r="I585" s="245">
        <v>45530</v>
      </c>
      <c r="J585" s="246">
        <v>45530</v>
      </c>
      <c r="K585" s="247" t="s">
        <v>58</v>
      </c>
      <c r="L585" s="264"/>
      <c r="M585" s="265">
        <f>IF(Tableau3453[[#This Row],[Date 
du paiement]]="",$D$4-Tableau3453[[#This Row],[Date
de la facture]],Tableau3453[[#This Row],[Date 
du paiement]]-Tableau3453[[#This Row],[Date
de la facture]])</f>
        <v>3</v>
      </c>
      <c r="N585" s="263" t="str">
        <f>IF(Tableau3453[[#This Row],[Date 
du paiement]]="",IF(Tableau3453[[#This Row],[Jours]]&lt;30,Tableau3453[[#This Row],[Montant
de la facture
CHF]],""),"")</f>
        <v/>
      </c>
      <c r="O585" s="263" t="str">
        <f>IF(Tableau3453[[#This Row],[Date 
du paiement]]="",IF(Tableau3453[[#This Row],[Jours]]&gt;30,IF(Tableau3453[[#This Row],[Jours]]&lt;60,Tableau3453[[#This Row],[Montant
de la facture
CHF]],""),""),"")</f>
        <v/>
      </c>
      <c r="P585" s="263" t="str">
        <f>IF(Tableau3453[[#This Row],[Date 
du paiement]]="",IF(Tableau3453[[#This Row],[Jours]]&gt;60,Tableau3453[[#This Row],[Montant
de la facture
CHF]],""),"")</f>
        <v/>
      </c>
      <c r="Q585" s="266"/>
      <c r="R585" s="267" t="str">
        <f>Tableau3453[[#This Row],[Solde 
ouverte
fm]]</f>
        <v/>
      </c>
      <c r="S5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6" spans="1:19" hidden="1" x14ac:dyDescent="0.25">
      <c r="A586" s="268">
        <v>240783</v>
      </c>
      <c r="B586" s="239" t="s">
        <v>860</v>
      </c>
      <c r="C586" s="352" t="str">
        <f>IF(Tableau3453[[#This Row],[Date 
du paiement]]="",IF(Tableau3453[[#This Row],[Jours]]&gt;Tableau3453[[#This Row],[Conditions
pmt+]]+5,"oui",""),"")</f>
        <v/>
      </c>
      <c r="D586" s="262" t="s">
        <v>927</v>
      </c>
      <c r="E586" s="240">
        <v>45523</v>
      </c>
      <c r="F586" s="263">
        <v>491.25</v>
      </c>
      <c r="G586" s="242" t="str">
        <f>IF(Tableau3453[[#This Row],[Date 
du paiement]]="",Tableau3453[[#This Row],[Montant
de la facture
CHF]],"")</f>
        <v/>
      </c>
      <c r="H586" s="243"/>
      <c r="I586" s="245">
        <v>45523</v>
      </c>
      <c r="J586" s="246">
        <v>45546</v>
      </c>
      <c r="K586" s="247" t="s">
        <v>58</v>
      </c>
      <c r="L586" s="264"/>
      <c r="M586" s="265">
        <f>IF(Tableau3453[[#This Row],[Date 
du paiement]]="",$D$4-Tableau3453[[#This Row],[Date
de la facture]],Tableau3453[[#This Row],[Date 
du paiement]]-Tableau3453[[#This Row],[Date
de la facture]])</f>
        <v>23</v>
      </c>
      <c r="N586" s="263" t="str">
        <f>IF(Tableau3453[[#This Row],[Date 
du paiement]]="",IF(Tableau3453[[#This Row],[Jours]]&lt;30,Tableau3453[[#This Row],[Montant
de la facture
CHF]],""),"")</f>
        <v/>
      </c>
      <c r="O586" s="263" t="str">
        <f>IF(Tableau3453[[#This Row],[Date 
du paiement]]="",IF(Tableau3453[[#This Row],[Jours]]&gt;30,IF(Tableau3453[[#This Row],[Jours]]&lt;60,Tableau3453[[#This Row],[Montant
de la facture
CHF]],""),""),"")</f>
        <v/>
      </c>
      <c r="P586" s="263" t="str">
        <f>IF(Tableau3453[[#This Row],[Date 
du paiement]]="",IF(Tableau3453[[#This Row],[Jours]]&gt;60,Tableau3453[[#This Row],[Montant
de la facture
CHF]],""),"")</f>
        <v/>
      </c>
      <c r="Q586" s="266"/>
      <c r="R586" s="267" t="str">
        <f>Tableau3453[[#This Row],[Solde 
ouverte
fm]]</f>
        <v/>
      </c>
      <c r="S5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7" spans="1:19" hidden="1" x14ac:dyDescent="0.25">
      <c r="A587" s="268">
        <v>240867</v>
      </c>
      <c r="B587" s="239">
        <v>30</v>
      </c>
      <c r="C587" s="352" t="str">
        <f>IF(Tableau3453[[#This Row],[Date 
du paiement]]="",IF(Tableau3453[[#This Row],[Jours]]&gt;Tableau3453[[#This Row],[Conditions
pmt+]]+5,"oui",""),"")</f>
        <v/>
      </c>
      <c r="D587" s="262" t="s">
        <v>1262</v>
      </c>
      <c r="E587" s="240">
        <v>45546</v>
      </c>
      <c r="F587" s="263">
        <v>86.45</v>
      </c>
      <c r="G587" s="242" t="str">
        <f>IF(Tableau3453[[#This Row],[Date 
du paiement]]="",Tableau3453[[#This Row],[Montant
de la facture
CHF]],"")</f>
        <v/>
      </c>
      <c r="H587" s="243"/>
      <c r="I587" s="245">
        <v>45547</v>
      </c>
      <c r="J587" s="246">
        <v>45582</v>
      </c>
      <c r="K587" s="247" t="s">
        <v>58</v>
      </c>
      <c r="L587" s="264"/>
      <c r="M587" s="265">
        <f>IF(Tableau3453[[#This Row],[Date 
du paiement]]="",$D$4-Tableau3453[[#This Row],[Date
de la facture]],Tableau3453[[#This Row],[Date 
du paiement]]-Tableau3453[[#This Row],[Date
de la facture]])</f>
        <v>36</v>
      </c>
      <c r="N587" s="263" t="str">
        <f>IF(Tableau3453[[#This Row],[Date 
du paiement]]="",IF(Tableau3453[[#This Row],[Jours]]&lt;30,Tableau3453[[#This Row],[Montant
de la facture
CHF]],""),"")</f>
        <v/>
      </c>
      <c r="O587" s="263" t="str">
        <f>IF(Tableau3453[[#This Row],[Date 
du paiement]]="",IF(Tableau3453[[#This Row],[Jours]]&gt;30,IF(Tableau3453[[#This Row],[Jours]]&lt;60,Tableau3453[[#This Row],[Montant
de la facture
CHF]],""),""),"")</f>
        <v/>
      </c>
      <c r="P587" s="263" t="str">
        <f>IF(Tableau3453[[#This Row],[Date 
du paiement]]="",IF(Tableau3453[[#This Row],[Jours]]&gt;60,Tableau3453[[#This Row],[Montant
de la facture
CHF]],""),"")</f>
        <v/>
      </c>
      <c r="Q587" s="266"/>
      <c r="R587" s="267" t="str">
        <f>Tableau3453[[#This Row],[Solde 
ouverte
fm]]</f>
        <v/>
      </c>
      <c r="S58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8" spans="1:19" hidden="1" x14ac:dyDescent="0.25">
      <c r="A588" s="341">
        <v>240657</v>
      </c>
      <c r="B588" s="342">
        <v>60</v>
      </c>
      <c r="C588" s="381" t="str">
        <f>IF(Tableau3453[[#This Row],[Date 
du paiement]]="",IF(Tableau3453[[#This Row],[Jours]]&gt;Tableau3453[[#This Row],[Conditions
pmt+]]+5,"oui",""),"")</f>
        <v/>
      </c>
      <c r="D588" s="343" t="s">
        <v>925</v>
      </c>
      <c r="E588" s="383">
        <v>45475</v>
      </c>
      <c r="F588" s="345">
        <v>393.65</v>
      </c>
      <c r="G588" s="410" t="str">
        <f>IF(Tableau3453[[#This Row],[Date 
du paiement]]="",Tableau3453[[#This Row],[Montant
de la facture
CHF]],"")</f>
        <v/>
      </c>
      <c r="H588" s="385"/>
      <c r="I588" s="386">
        <v>45477</v>
      </c>
      <c r="J588" s="346">
        <v>45537</v>
      </c>
      <c r="K588" s="347" t="s">
        <v>58</v>
      </c>
      <c r="L588" s="348"/>
      <c r="M588" s="349">
        <f>IF(Tableau3453[[#This Row],[Date 
du paiement]]="",$D$4-Tableau3453[[#This Row],[Date
de la facture]],Tableau3453[[#This Row],[Date 
du paiement]]-Tableau3453[[#This Row],[Date
de la facture]])</f>
        <v>62</v>
      </c>
      <c r="N588" s="345" t="str">
        <f>IF(Tableau3453[[#This Row],[Date 
du paiement]]="",IF(Tableau3453[[#This Row],[Jours]]&lt;30,Tableau3453[[#This Row],[Montant
de la facture
CHF]],""),"")</f>
        <v/>
      </c>
      <c r="O588" s="345" t="str">
        <f>IF(Tableau3453[[#This Row],[Date 
du paiement]]="",IF(Tableau3453[[#This Row],[Jours]]&gt;30,IF(Tableau3453[[#This Row],[Jours]]&lt;60,Tableau3453[[#This Row],[Montant
de la facture
CHF]],""),""),"")</f>
        <v/>
      </c>
      <c r="P588" s="345" t="str">
        <f>IF(Tableau3453[[#This Row],[Date 
du paiement]]="",IF(Tableau3453[[#This Row],[Jours]]&gt;60,Tableau3453[[#This Row],[Montant
de la facture
CHF]],""),"")</f>
        <v/>
      </c>
      <c r="Q588" s="351"/>
      <c r="R588" s="350" t="str">
        <f>Tableau3453[[#This Row],[Solde 
ouverte
fm]]</f>
        <v/>
      </c>
      <c r="S588" s="34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89" spans="1:19" hidden="1" x14ac:dyDescent="0.25">
      <c r="A589" s="323">
        <v>240824</v>
      </c>
      <c r="B589" s="324" t="s">
        <v>860</v>
      </c>
      <c r="C589" s="352" t="str">
        <f>IF(Tableau3453[[#This Row],[Date 
du paiement]]="",IF(Tableau3453[[#This Row],[Jours]]&gt;Tableau3453[[#This Row],[Conditions
pmt+]]+5,"oui",""),"")</f>
        <v/>
      </c>
      <c r="D589" s="325" t="s">
        <v>1398</v>
      </c>
      <c r="E589" s="240">
        <v>45531</v>
      </c>
      <c r="F589" s="327">
        <v>45.15</v>
      </c>
      <c r="G589" s="242" t="str">
        <f>IF(Tableau3453[[#This Row],[Date 
du paiement]]="",Tableau3453[[#This Row],[Montant
de la facture
CHF]],"")</f>
        <v/>
      </c>
      <c r="H589" s="328"/>
      <c r="I589" s="245">
        <v>45531</v>
      </c>
      <c r="J589" s="329">
        <v>45562</v>
      </c>
      <c r="K589" s="330" t="s">
        <v>58</v>
      </c>
      <c r="L589" s="331"/>
      <c r="M589" s="332">
        <f>IF(Tableau3453[[#This Row],[Date 
du paiement]]="",$D$4-Tableau3453[[#This Row],[Date
de la facture]],Tableau3453[[#This Row],[Date 
du paiement]]-Tableau3453[[#This Row],[Date
de la facture]])</f>
        <v>31</v>
      </c>
      <c r="N589" s="327" t="str">
        <f>IF(Tableau3453[[#This Row],[Date 
du paiement]]="",IF(Tableau3453[[#This Row],[Jours]]&lt;30,Tableau3453[[#This Row],[Montant
de la facture
CHF]],""),"")</f>
        <v/>
      </c>
      <c r="O589" s="327" t="str">
        <f>IF(Tableau3453[[#This Row],[Date 
du paiement]]="",IF(Tableau3453[[#This Row],[Jours]]&gt;30,IF(Tableau3453[[#This Row],[Jours]]&lt;60,Tableau3453[[#This Row],[Montant
de la facture
CHF]],""),""),"")</f>
        <v/>
      </c>
      <c r="P589" s="327" t="str">
        <f>IF(Tableau3453[[#This Row],[Date 
du paiement]]="",IF(Tableau3453[[#This Row],[Jours]]&gt;60,Tableau3453[[#This Row],[Montant
de la facture
CHF]],""),"")</f>
        <v/>
      </c>
      <c r="Q589" s="333"/>
      <c r="R589" s="334" t="str">
        <f>Tableau3453[[#This Row],[Solde 
ouverte
fm]]</f>
        <v/>
      </c>
      <c r="S589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0" spans="1:19" s="371" customFormat="1" hidden="1" x14ac:dyDescent="0.25">
      <c r="A590" s="268">
        <v>240644</v>
      </c>
      <c r="B590" s="239" t="s">
        <v>860</v>
      </c>
      <c r="C590" s="352" t="str">
        <f>IF(Tableau3453[[#This Row],[Date 
du paiement]]="",IF(Tableau3453[[#This Row],[Jours]]&gt;Tableau3453[[#This Row],[Conditions
pmt+]]+5,"oui",""),"")</f>
        <v/>
      </c>
      <c r="D590" s="262" t="s">
        <v>1262</v>
      </c>
      <c r="E590" s="240">
        <v>45547</v>
      </c>
      <c r="F590" s="263">
        <v>389.7</v>
      </c>
      <c r="G590" s="242" t="str">
        <f>IF(Tableau3453[[#This Row],[Date 
du paiement]]="",Tableau3453[[#This Row],[Montant
de la facture
CHF]],"")</f>
        <v/>
      </c>
      <c r="H590" s="243" t="s">
        <v>1656</v>
      </c>
      <c r="I590" s="245">
        <v>45547</v>
      </c>
      <c r="J590" s="246">
        <v>45582</v>
      </c>
      <c r="K590" s="247" t="s">
        <v>58</v>
      </c>
      <c r="L590" s="264"/>
      <c r="M590" s="265">
        <f>IF(Tableau3453[[#This Row],[Date 
du paiement]]="",$D$4-Tableau3453[[#This Row],[Date
de la facture]],Tableau3453[[#This Row],[Date 
du paiement]]-Tableau3453[[#This Row],[Date
de la facture]])</f>
        <v>35</v>
      </c>
      <c r="N590" s="263" t="str">
        <f>IF(Tableau3453[[#This Row],[Date 
du paiement]]="",IF(Tableau3453[[#This Row],[Jours]]&lt;30,Tableau3453[[#This Row],[Montant
de la facture
CHF]],""),"")</f>
        <v/>
      </c>
      <c r="O590" s="263" t="str">
        <f>IF(Tableau3453[[#This Row],[Date 
du paiement]]="",IF(Tableau3453[[#This Row],[Jours]]&gt;30,IF(Tableau3453[[#This Row],[Jours]]&lt;60,Tableau3453[[#This Row],[Montant
de la facture
CHF]],""),""),"")</f>
        <v/>
      </c>
      <c r="P590" s="263" t="str">
        <f>IF(Tableau3453[[#This Row],[Date 
du paiement]]="",IF(Tableau3453[[#This Row],[Jours]]&gt;60,Tableau3453[[#This Row],[Montant
de la facture
CHF]],""),"")</f>
        <v/>
      </c>
      <c r="Q590" s="266"/>
      <c r="R590" s="267" t="str">
        <f>Tableau3453[[#This Row],[Solde 
ouverte
fm]]</f>
        <v/>
      </c>
      <c r="S5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1" spans="1:19" s="371" customFormat="1" hidden="1" x14ac:dyDescent="0.25">
      <c r="A591" s="268">
        <v>240889</v>
      </c>
      <c r="B591" s="239">
        <v>30</v>
      </c>
      <c r="C591" s="495" t="str">
        <f>IF(Tableau3453[[#This Row],[Date 
du paiement]]="",IF(Tableau3453[[#This Row],[Jours]]&gt;Tableau3453[[#This Row],[Conditions
pmt+]]+5,"oui",""),"")</f>
        <v/>
      </c>
      <c r="D591" s="498" t="s">
        <v>869</v>
      </c>
      <c r="E591" s="240">
        <v>45558</v>
      </c>
      <c r="F591" s="499">
        <v>2751</v>
      </c>
      <c r="G591" s="457" t="str">
        <f>IF(Tableau3453[[#This Row],[Date 
du paiement]]="",Tableau3453[[#This Row],[Montant
de la facture
CHF]],"")</f>
        <v/>
      </c>
      <c r="H591" s="243"/>
      <c r="I591" s="459">
        <v>45559</v>
      </c>
      <c r="J591" s="460">
        <v>45610</v>
      </c>
      <c r="K591" s="461" t="s">
        <v>58</v>
      </c>
      <c r="L591" s="264">
        <v>3</v>
      </c>
      <c r="M591" s="265">
        <f>IF(Tableau3453[[#This Row],[Date 
du paiement]]="",$D$4-Tableau3453[[#This Row],[Date
de la facture]],Tableau3453[[#This Row],[Date 
du paiement]]-Tableau3453[[#This Row],[Date
de la facture]])</f>
        <v>52</v>
      </c>
      <c r="N591" s="472" t="str">
        <f>IF(Tableau3453[[#This Row],[Date 
du paiement]]="",IF(Tableau3453[[#This Row],[Jours]]&lt;30,Tableau3453[[#This Row],[Montant
de la facture
CHF]],""),"")</f>
        <v/>
      </c>
      <c r="O591" s="263" t="str">
        <f>IF(Tableau3453[[#This Row],[Date 
du paiement]]="",IF(Tableau3453[[#This Row],[Jours]]&gt;30,IF(Tableau3453[[#This Row],[Jours]]&lt;60,Tableau3453[[#This Row],[Montant
de la facture
CHF]],""),""),"")</f>
        <v/>
      </c>
      <c r="P591" s="466" t="str">
        <f>IF(Tableau3453[[#This Row],[Date 
du paiement]]="",IF(Tableau3453[[#This Row],[Jours]]&gt;60,Tableau3453[[#This Row],[Montant
de la facture
CHF]],""),"")</f>
        <v/>
      </c>
      <c r="Q591" s="466"/>
      <c r="R591" s="466" t="str">
        <f>Tableau3453[[#This Row],[Solde 
ouverte
fm]]</f>
        <v/>
      </c>
      <c r="S5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2" spans="1:19" hidden="1" x14ac:dyDescent="0.25">
      <c r="A592" s="380">
        <v>240830</v>
      </c>
      <c r="B592" s="342">
        <v>30</v>
      </c>
      <c r="C592" s="381" t="str">
        <f>IF(Tableau3453[[#This Row],[Date 
du paiement]]="",IF(Tableau3453[[#This Row],[Jours]]&gt;Tableau3453[[#This Row],[Conditions
pmt+]]+5,"oui",""),"")</f>
        <v/>
      </c>
      <c r="D592" s="382" t="s">
        <v>927</v>
      </c>
      <c r="E592" s="383">
        <v>45532</v>
      </c>
      <c r="F592" s="384">
        <v>491.25</v>
      </c>
      <c r="G592" s="410" t="str">
        <f>IF(Tableau3453[[#This Row],[Date 
du paiement]]="",Tableau3453[[#This Row],[Montant
de la facture
CHF]],"")</f>
        <v/>
      </c>
      <c r="H592" s="385"/>
      <c r="I592" s="386">
        <v>45533</v>
      </c>
      <c r="J592" s="387">
        <v>45560</v>
      </c>
      <c r="K592" s="388" t="s">
        <v>58</v>
      </c>
      <c r="L592" s="389"/>
      <c r="M592" s="390">
        <f>IF(Tableau3453[[#This Row],[Date 
du paiement]]="",$D$4-Tableau3453[[#This Row],[Date
de la facture]],Tableau3453[[#This Row],[Date 
du paiement]]-Tableau3453[[#This Row],[Date
de la facture]])</f>
        <v>28</v>
      </c>
      <c r="N592" s="345" t="str">
        <f>IF(Tableau3453[[#This Row],[Date 
du paiement]]="",IF(Tableau3453[[#This Row],[Jours]]&lt;30,Tableau3453[[#This Row],[Montant
de la facture
CHF]],""),"")</f>
        <v/>
      </c>
      <c r="O592" s="345" t="str">
        <f>IF(Tableau3453[[#This Row],[Date 
du paiement]]="",IF(Tableau3453[[#This Row],[Jours]]&gt;30,IF(Tableau3453[[#This Row],[Jours]]&lt;60,Tableau3453[[#This Row],[Montant
de la facture
CHF]],""),""),"")</f>
        <v/>
      </c>
      <c r="P592" s="345" t="str">
        <f>IF(Tableau3453[[#This Row],[Date 
du paiement]]="",IF(Tableau3453[[#This Row],[Jours]]&gt;60,Tableau3453[[#This Row],[Montant
de la facture
CHF]],""),"")</f>
        <v/>
      </c>
      <c r="Q592" s="351"/>
      <c r="R592" s="391" t="str">
        <f>Tableau3453[[#This Row],[Solde 
ouverte
fm]]</f>
        <v/>
      </c>
      <c r="S592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3" spans="1:19" hidden="1" x14ac:dyDescent="0.25">
      <c r="A593" s="323">
        <v>240798</v>
      </c>
      <c r="B593" s="324" t="s">
        <v>860</v>
      </c>
      <c r="C593" s="352" t="str">
        <f>IF(Tableau3453[[#This Row],[Date 
du paiement]]="",IF(Tableau3453[[#This Row],[Jours]]&gt;Tableau3453[[#This Row],[Conditions
pmt+]]+5,"oui",""),"")</f>
        <v/>
      </c>
      <c r="D593" s="325" t="s">
        <v>1401</v>
      </c>
      <c r="E593" s="326">
        <v>45526</v>
      </c>
      <c r="F593" s="327">
        <v>1026.95</v>
      </c>
      <c r="G593" s="242" t="str">
        <f>IF(Tableau3453[[#This Row],[Date 
du paiement]]="",Tableau3453[[#This Row],[Montant
de la facture
CHF]],"")</f>
        <v/>
      </c>
      <c r="H593" s="328"/>
      <c r="I593" s="335">
        <v>45532</v>
      </c>
      <c r="J593" s="329">
        <v>45523</v>
      </c>
      <c r="K593" s="330" t="s">
        <v>58</v>
      </c>
      <c r="L593" s="331"/>
      <c r="M593" s="332">
        <f>IF(Tableau3453[[#This Row],[Date 
du paiement]]="",$D$4-Tableau3453[[#This Row],[Date
de la facture]],Tableau3453[[#This Row],[Date 
du paiement]]-Tableau3453[[#This Row],[Date
de la facture]])</f>
        <v>-3</v>
      </c>
      <c r="N593" s="327" t="str">
        <f>IF(Tableau3453[[#This Row],[Date 
du paiement]]="",IF(Tableau3453[[#This Row],[Jours]]&lt;30,Tableau3453[[#This Row],[Montant
de la facture
CHF]],""),"")</f>
        <v/>
      </c>
      <c r="O593" s="327" t="str">
        <f>IF(Tableau3453[[#This Row],[Date 
du paiement]]="",IF(Tableau3453[[#This Row],[Jours]]&gt;30,IF(Tableau3453[[#This Row],[Jours]]&lt;60,Tableau3453[[#This Row],[Montant
de la facture
CHF]],""),""),"")</f>
        <v/>
      </c>
      <c r="P593" s="327" t="str">
        <f>IF(Tableau3453[[#This Row],[Date 
du paiement]]="",IF(Tableau3453[[#This Row],[Jours]]&gt;60,Tableau3453[[#This Row],[Montant
de la facture
CHF]],""),"")</f>
        <v/>
      </c>
      <c r="Q593" s="333"/>
      <c r="R593" s="334" t="str">
        <f>Tableau3453[[#This Row],[Solde 
ouverte
fm]]</f>
        <v/>
      </c>
      <c r="S593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4" spans="1:19" hidden="1" x14ac:dyDescent="0.25">
      <c r="A594" s="473">
        <v>240784</v>
      </c>
      <c r="B594" s="454" t="s">
        <v>860</v>
      </c>
      <c r="C594" s="495" t="str">
        <f>IF(Tableau3453[[#This Row],[Date 
du paiement]]="",IF(Tableau3453[[#This Row],[Jours]]&gt;Tableau3453[[#This Row],[Conditions
pmt+]]+5,"oui",""),"")</f>
        <v/>
      </c>
      <c r="D594" s="498" t="s">
        <v>1699</v>
      </c>
      <c r="E594" s="455">
        <v>45589</v>
      </c>
      <c r="F594" s="499">
        <v>2276.6</v>
      </c>
      <c r="G594" s="457" t="str">
        <f>IF(Tableau3453[[#This Row],[Date 
du paiement]]="",Tableau3453[[#This Row],[Montant
de la facture
CHF]],"")</f>
        <v/>
      </c>
      <c r="H594" s="458"/>
      <c r="I594" s="459">
        <v>45593</v>
      </c>
      <c r="J594" s="460">
        <v>45615</v>
      </c>
      <c r="K594" s="461" t="s">
        <v>58</v>
      </c>
      <c r="L594" s="469"/>
      <c r="M594" s="470">
        <f>IF(Tableau3453[[#This Row],[Date 
du paiement]]="",$D$4-Tableau3453[[#This Row],[Date
de la facture]],Tableau3453[[#This Row],[Date 
du paiement]]-Tableau3453[[#This Row],[Date
de la facture]])</f>
        <v>26</v>
      </c>
      <c r="N594" s="468" t="str">
        <f>IF(Tableau3453[[#This Row],[Date 
du paiement]]="",IF(Tableau3453[[#This Row],[Jours]]&lt;30,Tableau3453[[#This Row],[Montant
de la facture
CHF]],""),"")</f>
        <v/>
      </c>
      <c r="O594" s="468" t="str">
        <f>IF(Tableau3453[[#This Row],[Date 
du paiement]]="",IF(Tableau3453[[#This Row],[Jours]]&gt;30,IF(Tableau3453[[#This Row],[Jours]]&lt;60,Tableau3453[[#This Row],[Montant
de la facture
CHF]],""),""),"")</f>
        <v/>
      </c>
      <c r="P594" s="468" t="str">
        <f>IF(Tableau3453[[#This Row],[Date 
du paiement]]="",IF(Tableau3453[[#This Row],[Jours]]&gt;60,Tableau3453[[#This Row],[Montant
de la facture
CHF]],""),"")</f>
        <v/>
      </c>
      <c r="Q594" s="471"/>
      <c r="R594" s="472" t="str">
        <f>Tableau3453[[#This Row],[Solde 
ouverte
fm]]</f>
        <v/>
      </c>
      <c r="S594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5" spans="1:19" hidden="1" x14ac:dyDescent="0.25">
      <c r="A595" s="341">
        <v>240485</v>
      </c>
      <c r="B595" s="342" t="s">
        <v>860</v>
      </c>
      <c r="C595" s="381" t="str">
        <f>IF(Tableau3453[[#This Row],[Date 
du paiement]]="",IF(Tableau3453[[#This Row],[Jours]]&gt;Tableau3453[[#This Row],[Conditions
pmt+]]+5,"oui",""),"")</f>
        <v/>
      </c>
      <c r="D595" s="417" t="s">
        <v>1295</v>
      </c>
      <c r="E595" s="344">
        <v>45523</v>
      </c>
      <c r="F595" s="345">
        <v>6591.9</v>
      </c>
      <c r="G595" s="410" t="str">
        <f>IF(Tableau3453[[#This Row],[Date 
du paiement]]="",Tableau3453[[#This Row],[Montant
de la facture
CHF]],"")</f>
        <v/>
      </c>
      <c r="H595" s="385" t="s">
        <v>1381</v>
      </c>
      <c r="I595" s="418">
        <v>45525</v>
      </c>
      <c r="J595" s="346">
        <v>45533</v>
      </c>
      <c r="K595" s="347" t="s">
        <v>58</v>
      </c>
      <c r="L595" s="348"/>
      <c r="M595" s="349">
        <f>IF(Tableau3453[[#This Row],[Date 
du paiement]]="",$D$4-Tableau3453[[#This Row],[Date
de la facture]],Tableau3453[[#This Row],[Date 
du paiement]]-Tableau3453[[#This Row],[Date
de la facture]])</f>
        <v>10</v>
      </c>
      <c r="N595" s="345" t="str">
        <f>IF(Tableau3453[[#This Row],[Date 
du paiement]]="",IF(Tableau3453[[#This Row],[Jours]]&lt;30,Tableau3453[[#This Row],[Montant
de la facture
CHF]],""),"")</f>
        <v/>
      </c>
      <c r="O595" s="345" t="str">
        <f>IF(Tableau3453[[#This Row],[Date 
du paiement]]="",IF(Tableau3453[[#This Row],[Jours]]&gt;30,IF(Tableau3453[[#This Row],[Jours]]&lt;60,Tableau3453[[#This Row],[Montant
de la facture
CHF]],""),""),"")</f>
        <v/>
      </c>
      <c r="P595" s="345" t="str">
        <f>IF(Tableau3453[[#This Row],[Date 
du paiement]]="",IF(Tableau3453[[#This Row],[Jours]]&gt;60,Tableau3453[[#This Row],[Montant
de la facture
CHF]],""),"")</f>
        <v/>
      </c>
      <c r="Q595" s="351" t="s">
        <v>1373</v>
      </c>
      <c r="R595" s="350" t="str">
        <f>Tableau3453[[#This Row],[Solde 
ouverte
fm]]</f>
        <v/>
      </c>
      <c r="S595" s="34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6" spans="1:19" hidden="1" x14ac:dyDescent="0.25">
      <c r="A596" s="268">
        <v>240530</v>
      </c>
      <c r="B596" s="324">
        <v>30</v>
      </c>
      <c r="C596" s="352" t="str">
        <f>IF(Tableau3453[[#This Row],[Date 
du paiement]]="",IF(Tableau3453[[#This Row],[Jours]]&gt;Tableau3453[[#This Row],[Conditions
pmt+]]+5,"oui",""),"")</f>
        <v/>
      </c>
      <c r="D596" s="262" t="s">
        <v>1426</v>
      </c>
      <c r="E596" s="240">
        <v>45533</v>
      </c>
      <c r="F596" s="263">
        <v>4460.6499999999996</v>
      </c>
      <c r="G596" s="242" t="str">
        <f>IF(Tableau3453[[#This Row],[Date 
du paiement]]="",Tableau3453[[#This Row],[Montant
de la facture
CHF]],"")</f>
        <v/>
      </c>
      <c r="H596" s="243"/>
      <c r="I596" s="245">
        <v>45534</v>
      </c>
      <c r="J596" s="246">
        <v>45553</v>
      </c>
      <c r="K596" s="247" t="s">
        <v>58</v>
      </c>
      <c r="L596" s="264"/>
      <c r="M596" s="265">
        <f>IF(Tableau3453[[#This Row],[Date 
du paiement]]="",$D$4-Tableau3453[[#This Row],[Date
de la facture]],Tableau3453[[#This Row],[Date 
du paiement]]-Tableau3453[[#This Row],[Date
de la facture]])</f>
        <v>20</v>
      </c>
      <c r="N596" s="263" t="str">
        <f>IF(Tableau3453[[#This Row],[Date 
du paiement]]="",IF(Tableau3453[[#This Row],[Jours]]&lt;30,Tableau3453[[#This Row],[Montant
de la facture
CHF]],""),"")</f>
        <v/>
      </c>
      <c r="O596" s="263" t="str">
        <f>IF(Tableau3453[[#This Row],[Date 
du paiement]]="",IF(Tableau3453[[#This Row],[Jours]]&gt;30,IF(Tableau3453[[#This Row],[Jours]]&lt;60,Tableau3453[[#This Row],[Montant
de la facture
CHF]],""),""),"")</f>
        <v/>
      </c>
      <c r="P596" s="263" t="str">
        <f>IF(Tableau3453[[#This Row],[Date 
du paiement]]="",IF(Tableau3453[[#This Row],[Jours]]&gt;60,Tableau3453[[#This Row],[Montant
de la facture
CHF]],""),"")</f>
        <v/>
      </c>
      <c r="Q596" s="333"/>
      <c r="R596" s="267" t="str">
        <f>Tableau3453[[#This Row],[Solde 
ouverte
fm]]</f>
        <v/>
      </c>
      <c r="S59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7" spans="1:19" hidden="1" x14ac:dyDescent="0.25">
      <c r="A597" s="473">
        <v>240951</v>
      </c>
      <c r="B597" s="454">
        <v>30</v>
      </c>
      <c r="C597" s="495" t="str">
        <f>IF(Tableau3453[[#This Row],[Date 
du paiement]]="",IF(Tableau3453[[#This Row],[Jours]]&gt;Tableau3453[[#This Row],[Conditions
pmt+]]+5,"oui",""),"")</f>
        <v/>
      </c>
      <c r="D597" s="498" t="s">
        <v>1699</v>
      </c>
      <c r="E597" s="455">
        <v>45590</v>
      </c>
      <c r="F597" s="499">
        <v>891.85</v>
      </c>
      <c r="G597" s="457" t="str">
        <f>IF(Tableau3453[[#This Row],[Date 
du paiement]]="",Tableau3453[[#This Row],[Montant
de la facture
CHF]],"")</f>
        <v/>
      </c>
      <c r="H597" s="458"/>
      <c r="I597" s="459">
        <v>45596</v>
      </c>
      <c r="J597" s="460">
        <v>45615</v>
      </c>
      <c r="K597" s="461" t="s">
        <v>58</v>
      </c>
      <c r="L597" s="469"/>
      <c r="M597" s="470">
        <f>IF(Tableau3453[[#This Row],[Date 
du paiement]]="",$D$4-Tableau3453[[#This Row],[Date
de la facture]],Tableau3453[[#This Row],[Date 
du paiement]]-Tableau3453[[#This Row],[Date
de la facture]])</f>
        <v>25</v>
      </c>
      <c r="N597" s="468" t="str">
        <f>IF(Tableau3453[[#This Row],[Date 
du paiement]]="",IF(Tableau3453[[#This Row],[Jours]]&lt;30,Tableau3453[[#This Row],[Montant
de la facture
CHF]],""),"")</f>
        <v/>
      </c>
      <c r="O597" s="468" t="str">
        <f>IF(Tableau3453[[#This Row],[Date 
du paiement]]="",IF(Tableau3453[[#This Row],[Jours]]&gt;30,IF(Tableau3453[[#This Row],[Jours]]&lt;60,Tableau3453[[#This Row],[Montant
de la facture
CHF]],""),""),"")</f>
        <v/>
      </c>
      <c r="P597" s="468" t="str">
        <f>IF(Tableau3453[[#This Row],[Date 
du paiement]]="",IF(Tableau3453[[#This Row],[Jours]]&gt;60,Tableau3453[[#This Row],[Montant
de la facture
CHF]],""),"")</f>
        <v/>
      </c>
      <c r="Q597" s="471"/>
      <c r="R597" s="472" t="str">
        <f>Tableau3453[[#This Row],[Solde 
ouverte
fm]]</f>
        <v/>
      </c>
      <c r="S597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8" spans="1:19" hidden="1" x14ac:dyDescent="0.25">
      <c r="A598" s="380">
        <v>240833</v>
      </c>
      <c r="B598" s="342">
        <v>30</v>
      </c>
      <c r="C598" s="381" t="str">
        <f>IF(Tableau3453[[#This Row],[Date 
du paiement]]="",IF(Tableau3453[[#This Row],[Jours]]&gt;Tableau3453[[#This Row],[Conditions
pmt+]]+5,"oui",""),"")</f>
        <v/>
      </c>
      <c r="D598" s="382" t="s">
        <v>1026</v>
      </c>
      <c r="E598" s="383">
        <v>45533</v>
      </c>
      <c r="F598" s="384">
        <v>792.95</v>
      </c>
      <c r="G598" s="410" t="str">
        <f>IF(Tableau3453[[#This Row],[Date 
du paiement]]="",Tableau3453[[#This Row],[Montant
de la facture
CHF]],"")</f>
        <v/>
      </c>
      <c r="H598" s="385"/>
      <c r="I598" s="418">
        <v>45533</v>
      </c>
      <c r="J598" s="387">
        <v>45551</v>
      </c>
      <c r="K598" s="388" t="s">
        <v>58</v>
      </c>
      <c r="L598" s="389"/>
      <c r="M598" s="390">
        <f>IF(Tableau3453[[#This Row],[Date 
du paiement]]="",$D$4-Tableau3453[[#This Row],[Date
de la facture]],Tableau3453[[#This Row],[Date 
du paiement]]-Tableau3453[[#This Row],[Date
de la facture]])</f>
        <v>18</v>
      </c>
      <c r="N598" s="384" t="str">
        <f>IF(Tableau3453[[#This Row],[Date 
du paiement]]="",IF(Tableau3453[[#This Row],[Jours]]&lt;30,Tableau3453[[#This Row],[Montant
de la facture
CHF]],""),"")</f>
        <v/>
      </c>
      <c r="O598" s="384" t="str">
        <f>IF(Tableau3453[[#This Row],[Date 
du paiement]]="",IF(Tableau3453[[#This Row],[Jours]]&gt;30,IF(Tableau3453[[#This Row],[Jours]]&lt;60,Tableau3453[[#This Row],[Montant
de la facture
CHF]],""),""),"")</f>
        <v/>
      </c>
      <c r="P598" s="384" t="str">
        <f>IF(Tableau3453[[#This Row],[Date 
du paiement]]="",IF(Tableau3453[[#This Row],[Jours]]&gt;60,Tableau3453[[#This Row],[Montant
de la facture
CHF]],""),"")</f>
        <v/>
      </c>
      <c r="Q598" s="351"/>
      <c r="R598" s="391" t="str">
        <f>Tableau3453[[#This Row],[Solde 
ouverte
fm]]</f>
        <v/>
      </c>
      <c r="S598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599" spans="1:19" x14ac:dyDescent="0.25">
      <c r="A599" s="268">
        <v>241037</v>
      </c>
      <c r="B599" s="239">
        <v>30</v>
      </c>
      <c r="C599" s="505" t="str">
        <f ca="1">IF(Tableau3453[[#This Row],[Date 
du paiement]]="",IF(Tableau3453[[#This Row],[Jours]]&gt;Tableau3453[[#This Row],[Conditions
pmt+]]+5,"oui",""),"")</f>
        <v/>
      </c>
      <c r="D599" s="262" t="s">
        <v>986</v>
      </c>
      <c r="E599" s="240">
        <v>45604</v>
      </c>
      <c r="F599" s="468">
        <v>365.3</v>
      </c>
      <c r="G599" s="501">
        <f>IF(Tableau3453[[#This Row],[Date 
du paiement]]="",Tableau3453[[#This Row],[Montant
de la facture
CHF]],"")</f>
        <v>365.3</v>
      </c>
      <c r="H599" s="243"/>
      <c r="I599" s="459">
        <v>45607</v>
      </c>
      <c r="J599" s="246"/>
      <c r="K599" s="247"/>
      <c r="L599" s="264"/>
      <c r="M599" s="265">
        <f ca="1">IF(Tableau3453[[#This Row],[Date 
du paiement]]="",$D$4-Tableau3453[[#This Row],[Date
de la facture]],Tableau3453[[#This Row],[Date 
du paiement]]-Tableau3453[[#This Row],[Date
de la facture]])</f>
        <v>13.46942534721893</v>
      </c>
      <c r="N599" s="263">
        <f ca="1">IF(Tableau3453[[#This Row],[Date 
du paiement]]="",IF(Tableau3453[[#This Row],[Jours]]&lt;30,Tableau3453[[#This Row],[Montant
de la facture
CHF]],""),"")</f>
        <v>365.3</v>
      </c>
      <c r="O599" s="263" t="str">
        <f ca="1">IF(Tableau3453[[#This Row],[Date 
du paiement]]="",IF(Tableau3453[[#This Row],[Jours]]&gt;30,IF(Tableau3453[[#This Row],[Jours]]&lt;60,Tableau3453[[#This Row],[Montant
de la facture
CHF]],""),""),"")</f>
        <v/>
      </c>
      <c r="P599" s="263" t="str">
        <f ca="1">IF(Tableau3453[[#This Row],[Date 
du paiement]]="",IF(Tableau3453[[#This Row],[Jours]]&gt;60,Tableau3453[[#This Row],[Montant
de la facture
CHF]],""),"")</f>
        <v/>
      </c>
      <c r="Q599" s="266"/>
      <c r="R599" s="267">
        <f>Tableau3453[[#This Row],[Solde 
ouverte
fm]]</f>
        <v>365.3</v>
      </c>
      <c r="S599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00" spans="1:19" hidden="1" x14ac:dyDescent="0.25">
      <c r="A600" s="419">
        <v>240846</v>
      </c>
      <c r="B600" s="408" t="s">
        <v>870</v>
      </c>
      <c r="C600" s="381" t="str">
        <f>IF(Tableau3453[[#This Row],[Date 
du paiement]]="",IF(Tableau3453[[#This Row],[Jours]]&gt;Tableau3453[[#This Row],[Conditions
pmt+]]+5,"oui",""),"")</f>
        <v/>
      </c>
      <c r="D600" s="420" t="s">
        <v>1504</v>
      </c>
      <c r="E600" s="421">
        <v>45536</v>
      </c>
      <c r="F600" s="422">
        <v>721.9</v>
      </c>
      <c r="G600" s="410" t="str">
        <f>IF(Tableau3453[[#This Row],[Date 
du paiement]]="",Tableau3453[[#This Row],[Montant
de la facture
CHF]],"")</f>
        <v/>
      </c>
      <c r="H600" s="385" t="s">
        <v>1505</v>
      </c>
      <c r="I600" s="418">
        <v>45537</v>
      </c>
      <c r="J600" s="423">
        <v>45552</v>
      </c>
      <c r="K600" s="424" t="s">
        <v>58</v>
      </c>
      <c r="L600" s="389">
        <v>1</v>
      </c>
      <c r="M600" s="389">
        <f>IF(Tableau3453[[#This Row],[Date 
du paiement]]="",$D$4-Tableau3453[[#This Row],[Date
de la facture]],Tableau3453[[#This Row],[Date 
du paiement]]-Tableau3453[[#This Row],[Date
de la facture]])</f>
        <v>16</v>
      </c>
      <c r="N600" s="422" t="str">
        <f>IF(Tableau3453[[#This Row],[Date 
du paiement]]="",IF(Tableau3453[[#This Row],[Jours]]&lt;30,Tableau3453[[#This Row],[Montant
de la facture
CHF]],""),"")</f>
        <v/>
      </c>
      <c r="O600" s="422" t="str">
        <f>IF(Tableau3453[[#This Row],[Date 
du paiement]]="",IF(Tableau3453[[#This Row],[Jours]]&gt;30,IF(Tableau3453[[#This Row],[Jours]]&lt;60,Tableau3453[[#This Row],[Montant
de la facture
CHF]],""),""),"")</f>
        <v/>
      </c>
      <c r="P600" s="422" t="str">
        <f>IF(Tableau3453[[#This Row],[Date 
du paiement]]="",IF(Tableau3453[[#This Row],[Jours]]&gt;60,Tableau3453[[#This Row],[Montant
de la facture
CHF]],""),"")</f>
        <v/>
      </c>
      <c r="Q600" s="425" t="s">
        <v>1507</v>
      </c>
      <c r="R600" s="426" t="str">
        <f>Tableau3453[[#This Row],[Solde 
ouverte
fm]]</f>
        <v/>
      </c>
      <c r="S600" s="422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1" spans="1:19" hidden="1" x14ac:dyDescent="0.25">
      <c r="A601" s="372">
        <v>240567</v>
      </c>
      <c r="B601" s="239">
        <v>30</v>
      </c>
      <c r="C601" s="352" t="str">
        <f>IF(Tableau3453[[#This Row],[Date 
du paiement]]="",IF(Tableau3453[[#This Row],[Jours]]&gt;Tableau3453[[#This Row],[Conditions
pmt+]]+5,"oui",""),"")</f>
        <v/>
      </c>
      <c r="D601" s="373" t="s">
        <v>1019</v>
      </c>
      <c r="E601" s="374">
        <v>45504</v>
      </c>
      <c r="F601" s="375">
        <v>452.95</v>
      </c>
      <c r="G601" s="242" t="str">
        <f>IF(Tableau3453[[#This Row],[Date 
du paiement]]="",Tableau3453[[#This Row],[Montant
de la facture
CHF]],"")</f>
        <v/>
      </c>
      <c r="H601" s="328"/>
      <c r="I601" s="335">
        <v>45510</v>
      </c>
      <c r="J601" s="246">
        <v>45575</v>
      </c>
      <c r="K601" s="247" t="s">
        <v>58</v>
      </c>
      <c r="L601" s="264">
        <v>3</v>
      </c>
      <c r="M601" s="265">
        <f>IF(Tableau3453[[#This Row],[Date 
du paiement]]="",$D$4-Tableau3453[[#This Row],[Date
de la facture]],Tableau3453[[#This Row],[Date 
du paiement]]-Tableau3453[[#This Row],[Date
de la facture]])</f>
        <v>71</v>
      </c>
      <c r="N601" s="263" t="str">
        <f>IF(Tableau3453[[#This Row],[Date 
du paiement]]="",IF(Tableau3453[[#This Row],[Jours]]&lt;30,Tableau3453[[#This Row],[Montant
de la facture
CHF]],""),"")</f>
        <v/>
      </c>
      <c r="O601" s="263" t="str">
        <f>IF(Tableau3453[[#This Row],[Date 
du paiement]]="",IF(Tableau3453[[#This Row],[Jours]]&gt;30,IF(Tableau3453[[#This Row],[Jours]]&lt;60,Tableau3453[[#This Row],[Montant
de la facture
CHF]],""),""),"")</f>
        <v/>
      </c>
      <c r="P601" s="263" t="str">
        <f>IF(Tableau3453[[#This Row],[Date 
du paiement]]="",IF(Tableau3453[[#This Row],[Jours]]&gt;60,Tableau3453[[#This Row],[Montant
de la facture
CHF]],""),"")</f>
        <v/>
      </c>
      <c r="Q601" s="266" t="s">
        <v>1621</v>
      </c>
      <c r="R601" s="267" t="str">
        <f>Tableau3453[[#This Row],[Solde 
ouverte
fm]]</f>
        <v/>
      </c>
      <c r="S60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2" spans="1:19" hidden="1" x14ac:dyDescent="0.25">
      <c r="A602" s="341">
        <v>240800</v>
      </c>
      <c r="B602" s="342">
        <v>30</v>
      </c>
      <c r="C602" s="352" t="str">
        <f>IF(Tableau3453[[#This Row],[Date 
du paiement]]="",IF(Tableau3453[[#This Row],[Jours]]&gt;Tableau3453[[#This Row],[Conditions
pmt+]]+5,"oui",""),"")</f>
        <v/>
      </c>
      <c r="D602" s="343" t="s">
        <v>1425</v>
      </c>
      <c r="E602" s="344">
        <v>45533</v>
      </c>
      <c r="F602" s="345">
        <v>27.25</v>
      </c>
      <c r="G602" s="242" t="str">
        <f>IF(Tableau3453[[#This Row],[Date 
du paiement]]="",Tableau3453[[#This Row],[Montant
de la facture
CHF]],"")</f>
        <v/>
      </c>
      <c r="H602" s="328"/>
      <c r="I602" s="335">
        <v>45534</v>
      </c>
      <c r="J602" s="346">
        <v>45521</v>
      </c>
      <c r="K602" s="347" t="s">
        <v>907</v>
      </c>
      <c r="L602" s="348"/>
      <c r="M602" s="349">
        <f>IF(Tableau3453[[#This Row],[Date 
du paiement]]="",$D$4-Tableau3453[[#This Row],[Date
de la facture]],Tableau3453[[#This Row],[Date 
du paiement]]-Tableau3453[[#This Row],[Date
de la facture]])</f>
        <v>-12</v>
      </c>
      <c r="N602" s="345" t="str">
        <f>IF(Tableau3453[[#This Row],[Date 
du paiement]]="",IF(Tableau3453[[#This Row],[Jours]]&lt;30,Tableau3453[[#This Row],[Montant
de la facture
CHF]],""),"")</f>
        <v/>
      </c>
      <c r="O602" s="345" t="str">
        <f>IF(Tableau3453[[#This Row],[Date 
du paiement]]="",IF(Tableau3453[[#This Row],[Jours]]&gt;30,IF(Tableau3453[[#This Row],[Jours]]&lt;60,Tableau3453[[#This Row],[Montant
de la facture
CHF]],""),""),"")</f>
        <v/>
      </c>
      <c r="P602" s="345" t="str">
        <f>IF(Tableau3453[[#This Row],[Date 
du paiement]]="",IF(Tableau3453[[#This Row],[Jours]]&gt;60,Tableau3453[[#This Row],[Montant
de la facture
CHF]],""),"")</f>
        <v/>
      </c>
      <c r="Q602" s="351"/>
      <c r="R602" s="350" t="str">
        <f>Tableau3453[[#This Row],[Solde 
ouverte
fm]]</f>
        <v/>
      </c>
      <c r="S602" s="34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3" spans="1:19" hidden="1" x14ac:dyDescent="0.25">
      <c r="A603" s="268">
        <v>240816</v>
      </c>
      <c r="B603" s="239">
        <v>30</v>
      </c>
      <c r="C603" s="352" t="str">
        <f>IF(Tableau3453[[#This Row],[Date 
du paiement]]="",IF(Tableau3453[[#This Row],[Jours]]&gt;Tableau3453[[#This Row],[Conditions
pmt+]]+5,"oui",""),"")</f>
        <v/>
      </c>
      <c r="D603" s="262" t="s">
        <v>902</v>
      </c>
      <c r="E603" s="240">
        <v>45538</v>
      </c>
      <c r="F603" s="263">
        <v>8889.85</v>
      </c>
      <c r="G603" s="242" t="str">
        <f>IF(Tableau3453[[#This Row],[Date 
du paiement]]="",Tableau3453[[#This Row],[Montant
de la facture
CHF]],"")</f>
        <v/>
      </c>
      <c r="H603" s="328"/>
      <c r="I603" s="335">
        <v>45539</v>
      </c>
      <c r="J603" s="246">
        <v>45562</v>
      </c>
      <c r="K603" s="247" t="s">
        <v>58</v>
      </c>
      <c r="L603" s="264"/>
      <c r="M603" s="265">
        <f>IF(Tableau3453[[#This Row],[Date 
du paiement]]="",$D$4-Tableau3453[[#This Row],[Date
de la facture]],Tableau3453[[#This Row],[Date 
du paiement]]-Tableau3453[[#This Row],[Date
de la facture]])</f>
        <v>24</v>
      </c>
      <c r="N603" s="263" t="str">
        <f>IF(Tableau3453[[#This Row],[Date 
du paiement]]="",IF(Tableau3453[[#This Row],[Jours]]&lt;30,Tableau3453[[#This Row],[Montant
de la facture
CHF]],""),"")</f>
        <v/>
      </c>
      <c r="O603" s="263" t="str">
        <f>IF(Tableau3453[[#This Row],[Date 
du paiement]]="",IF(Tableau3453[[#This Row],[Jours]]&gt;30,IF(Tableau3453[[#This Row],[Jours]]&lt;60,Tableau3453[[#This Row],[Montant
de la facture
CHF]],""),""),"")</f>
        <v/>
      </c>
      <c r="P603" s="263" t="str">
        <f>IF(Tableau3453[[#This Row],[Date 
du paiement]]="",IF(Tableau3453[[#This Row],[Jours]]&gt;60,Tableau3453[[#This Row],[Montant
de la facture
CHF]],""),"")</f>
        <v/>
      </c>
      <c r="Q603" s="266"/>
      <c r="R603" s="267" t="str">
        <f>Tableau3453[[#This Row],[Solde 
ouverte
fm]]</f>
        <v/>
      </c>
      <c r="S60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4" spans="1:19" hidden="1" x14ac:dyDescent="0.25">
      <c r="A604" s="268">
        <v>240831</v>
      </c>
      <c r="B604" s="239">
        <v>30</v>
      </c>
      <c r="C604" s="352" t="str">
        <f>IF(Tableau3453[[#This Row],[Date 
du paiement]]="",IF(Tableau3453[[#This Row],[Jours]]&gt;Tableau3453[[#This Row],[Conditions
pmt+]]+5,"oui",""),"")</f>
        <v/>
      </c>
      <c r="D604" s="262" t="s">
        <v>1467</v>
      </c>
      <c r="E604" s="240">
        <v>45539</v>
      </c>
      <c r="F604" s="263">
        <v>2785.6</v>
      </c>
      <c r="G604" s="242" t="str">
        <f>IF(Tableau3453[[#This Row],[Date 
du paiement]]="",Tableau3453[[#This Row],[Montant
de la facture
CHF]],"")</f>
        <v/>
      </c>
      <c r="H604" s="328"/>
      <c r="I604" s="335">
        <v>45540</v>
      </c>
      <c r="J604" s="246">
        <v>45573</v>
      </c>
      <c r="K604" s="247" t="s">
        <v>58</v>
      </c>
      <c r="L604" s="264"/>
      <c r="M604" s="265">
        <f>IF(Tableau3453[[#This Row],[Date 
du paiement]]="",$D$4-Tableau3453[[#This Row],[Date
de la facture]],Tableau3453[[#This Row],[Date 
du paiement]]-Tableau3453[[#This Row],[Date
de la facture]])</f>
        <v>34</v>
      </c>
      <c r="N604" s="263" t="str">
        <f>IF(Tableau3453[[#This Row],[Date 
du paiement]]="",IF(Tableau3453[[#This Row],[Jours]]&lt;30,Tableau3453[[#This Row],[Montant
de la facture
CHF]],""),"")</f>
        <v/>
      </c>
      <c r="O604" s="263" t="str">
        <f>IF(Tableau3453[[#This Row],[Date 
du paiement]]="",IF(Tableau3453[[#This Row],[Jours]]&gt;30,IF(Tableau3453[[#This Row],[Jours]]&lt;60,Tableau3453[[#This Row],[Montant
de la facture
CHF]],""),""),"")</f>
        <v/>
      </c>
      <c r="P604" s="263" t="str">
        <f>IF(Tableau3453[[#This Row],[Date 
du paiement]]="",IF(Tableau3453[[#This Row],[Jours]]&gt;60,Tableau3453[[#This Row],[Montant
de la facture
CHF]],""),"")</f>
        <v/>
      </c>
      <c r="Q604" s="266"/>
      <c r="R604" s="267" t="str">
        <f>Tableau3453[[#This Row],[Solde 
ouverte
fm]]</f>
        <v/>
      </c>
      <c r="S6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5" spans="1:19" hidden="1" x14ac:dyDescent="0.25">
      <c r="A605" s="268">
        <v>240740</v>
      </c>
      <c r="B605" s="239">
        <v>30</v>
      </c>
      <c r="C605" s="352" t="str">
        <f>IF(Tableau3453[[#This Row],[Date 
du paiement]]="",IF(Tableau3453[[#This Row],[Jours]]&gt;Tableau3453[[#This Row],[Conditions
pmt+]]+5,"oui",""),"")</f>
        <v/>
      </c>
      <c r="D605" s="262" t="s">
        <v>929</v>
      </c>
      <c r="E605" s="240">
        <v>45499</v>
      </c>
      <c r="F605" s="263">
        <v>1457.7</v>
      </c>
      <c r="G605" s="242" t="str">
        <f>IF(Tableau3453[[#This Row],[Date 
du paiement]]="",Tableau3453[[#This Row],[Montant
de la facture
CHF]],"")</f>
        <v/>
      </c>
      <c r="H605" s="328"/>
      <c r="I605" s="335">
        <v>45510</v>
      </c>
      <c r="J605" s="246">
        <v>45539</v>
      </c>
      <c r="K605" s="247" t="s">
        <v>58</v>
      </c>
      <c r="L605" s="264">
        <v>1</v>
      </c>
      <c r="M605" s="265">
        <f>IF(Tableau3453[[#This Row],[Date 
du paiement]]="",$D$4-Tableau3453[[#This Row],[Date
de la facture]],Tableau3453[[#This Row],[Date 
du paiement]]-Tableau3453[[#This Row],[Date
de la facture]])</f>
        <v>40</v>
      </c>
      <c r="N605" s="263" t="str">
        <f>IF(Tableau3453[[#This Row],[Date 
du paiement]]="",IF(Tableau3453[[#This Row],[Jours]]&lt;30,Tableau3453[[#This Row],[Montant
de la facture
CHF]],""),"")</f>
        <v/>
      </c>
      <c r="O605" s="263" t="str">
        <f>IF(Tableau3453[[#This Row],[Date 
du paiement]]="",IF(Tableau3453[[#This Row],[Jours]]&gt;30,IF(Tableau3453[[#This Row],[Jours]]&lt;60,Tableau3453[[#This Row],[Montant
de la facture
CHF]],""),""),"")</f>
        <v/>
      </c>
      <c r="P605" s="263" t="str">
        <f>IF(Tableau3453[[#This Row],[Date 
du paiement]]="",IF(Tableau3453[[#This Row],[Jours]]&gt;60,Tableau3453[[#This Row],[Montant
de la facture
CHF]],""),"")</f>
        <v/>
      </c>
      <c r="Q605" s="266"/>
      <c r="R605" s="267" t="str">
        <f>Tableau3453[[#This Row],[Solde 
ouverte
fm]]</f>
        <v/>
      </c>
      <c r="S60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6" spans="1:19" hidden="1" x14ac:dyDescent="0.25">
      <c r="A606" s="268">
        <v>240807</v>
      </c>
      <c r="B606" s="239" t="s">
        <v>857</v>
      </c>
      <c r="C606" s="352" t="str">
        <f>IF(Tableau3453[[#This Row],[Date 
du paiement]]="",IF(Tableau3453[[#This Row],[Jours]]&gt;Tableau3453[[#This Row],[Conditions
pmt+]]+5,"oui",""),"")</f>
        <v/>
      </c>
      <c r="D606" s="467" t="s">
        <v>1392</v>
      </c>
      <c r="E606" s="240">
        <v>45548</v>
      </c>
      <c r="F606" s="499">
        <v>952.85</v>
      </c>
      <c r="G606" s="457" t="str">
        <f>IF(Tableau3453[[#This Row],[Date 
du paiement]]="",Tableau3453[[#This Row],[Montant
de la facture
CHF]],"")</f>
        <v/>
      </c>
      <c r="H606" s="243"/>
      <c r="I606" s="245">
        <v>45548</v>
      </c>
      <c r="J606" s="246">
        <v>45615</v>
      </c>
      <c r="K606" s="247" t="s">
        <v>58</v>
      </c>
      <c r="L606" s="264"/>
      <c r="M606" s="265">
        <f>IF(Tableau3453[[#This Row],[Date 
du paiement]]="",$D$4-Tableau3453[[#This Row],[Date
de la facture]],Tableau3453[[#This Row],[Date 
du paiement]]-Tableau3453[[#This Row],[Date
de la facture]])</f>
        <v>67</v>
      </c>
      <c r="N606" s="263" t="str">
        <f>IF(Tableau3453[[#This Row],[Date 
du paiement]]="",IF(Tableau3453[[#This Row],[Jours]]&lt;30,Tableau3453[[#This Row],[Montant
de la facture
CHF]],""),"")</f>
        <v/>
      </c>
      <c r="O606" s="263" t="str">
        <f>IF(Tableau3453[[#This Row],[Date 
du paiement]]="",IF(Tableau3453[[#This Row],[Jours]]&gt;30,IF(Tableau3453[[#This Row],[Jours]]&lt;60,Tableau3453[[#This Row],[Montant
de la facture
CHF]],""),""),"")</f>
        <v/>
      </c>
      <c r="P606" s="263" t="str">
        <f>IF(Tableau3453[[#This Row],[Date 
du paiement]]="",IF(Tableau3453[[#This Row],[Jours]]&gt;60,Tableau3453[[#This Row],[Montant
de la facture
CHF]],""),"")</f>
        <v/>
      </c>
      <c r="Q606" s="266"/>
      <c r="R606" s="267" t="str">
        <f>Tableau3453[[#This Row],[Solde 
ouverte
fm]]</f>
        <v/>
      </c>
      <c r="S60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7" spans="1:19" hidden="1" x14ac:dyDescent="0.25">
      <c r="A607" s="268">
        <v>240869</v>
      </c>
      <c r="B607" s="239" t="s">
        <v>857</v>
      </c>
      <c r="C607" s="352" t="str">
        <f>IF(Tableau3453[[#This Row],[Date 
du paiement]]="",IF(Tableau3453[[#This Row],[Jours]]&gt;Tableau3453[[#This Row],[Conditions
pmt+]]+5,"oui",""),"")</f>
        <v/>
      </c>
      <c r="D607" s="467" t="s">
        <v>1286</v>
      </c>
      <c r="E607" s="240">
        <v>45548</v>
      </c>
      <c r="F607" s="499">
        <v>355.3</v>
      </c>
      <c r="G607" s="242" t="str">
        <f>IF(Tableau3453[[#This Row],[Date 
du paiement]]="",Tableau3453[[#This Row],[Montant
de la facture
CHF]],"")</f>
        <v/>
      </c>
      <c r="H607" s="243"/>
      <c r="I607" s="245">
        <v>45548</v>
      </c>
      <c r="J607" s="460">
        <v>45615</v>
      </c>
      <c r="K607" s="461" t="s">
        <v>58</v>
      </c>
      <c r="L607" s="264"/>
      <c r="M607" s="265">
        <f>IF(Tableau3453[[#This Row],[Date 
du paiement]]="",$D$4-Tableau3453[[#This Row],[Date
de la facture]],Tableau3453[[#This Row],[Date 
du paiement]]-Tableau3453[[#This Row],[Date
de la facture]])</f>
        <v>67</v>
      </c>
      <c r="N607" s="263" t="str">
        <f>IF(Tableau3453[[#This Row],[Date 
du paiement]]="",IF(Tableau3453[[#This Row],[Jours]]&lt;30,Tableau3453[[#This Row],[Montant
de la facture
CHF]],""),"")</f>
        <v/>
      </c>
      <c r="O607" s="263" t="str">
        <f>IF(Tableau3453[[#This Row],[Date 
du paiement]]="",IF(Tableau3453[[#This Row],[Jours]]&gt;30,IF(Tableau3453[[#This Row],[Jours]]&lt;60,Tableau3453[[#This Row],[Montant
de la facture
CHF]],""),""),"")</f>
        <v/>
      </c>
      <c r="P607" s="263" t="str">
        <f>IF(Tableau3453[[#This Row],[Date 
du paiement]]="",IF(Tableau3453[[#This Row],[Jours]]&gt;60,Tableau3453[[#This Row],[Montant
de la facture
CHF]],""),"")</f>
        <v/>
      </c>
      <c r="Q607" s="266" t="s">
        <v>1681</v>
      </c>
      <c r="R607" s="267" t="str">
        <f>Tableau3453[[#This Row],[Solde 
ouverte
fm]]</f>
        <v/>
      </c>
      <c r="S60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8" spans="1:19" hidden="1" x14ac:dyDescent="0.25">
      <c r="A608" s="380">
        <v>240896</v>
      </c>
      <c r="B608" s="408">
        <v>30</v>
      </c>
      <c r="C608" s="381" t="str">
        <f>IF(Tableau3453[[#This Row],[Date 
du paiement]]="",IF(Tableau3453[[#This Row],[Jours]]&gt;Tableau3453[[#This Row],[Conditions
pmt+]]+5,"oui",""),"")</f>
        <v/>
      </c>
      <c r="D608" s="420" t="s">
        <v>880</v>
      </c>
      <c r="E608" s="383">
        <v>45554</v>
      </c>
      <c r="F608" s="422">
        <v>2291.25</v>
      </c>
      <c r="G608" s="410" t="str">
        <f>IF(Tableau3453[[#This Row],[Date 
du paiement]]="",Tableau3453[[#This Row],[Montant
de la facture
CHF]],"")</f>
        <v/>
      </c>
      <c r="H608" s="411"/>
      <c r="I608" s="386">
        <v>45559</v>
      </c>
      <c r="J608" s="387">
        <v>45581</v>
      </c>
      <c r="K608" s="388" t="s">
        <v>58</v>
      </c>
      <c r="L608" s="389"/>
      <c r="M608" s="390">
        <f>IF(Tableau3453[[#This Row],[Date 
du paiement]]="",$D$4-Tableau3453[[#This Row],[Date
de la facture]],Tableau3453[[#This Row],[Date 
du paiement]]-Tableau3453[[#This Row],[Date
de la facture]])</f>
        <v>27</v>
      </c>
      <c r="N608" s="384" t="str">
        <f>IF(Tableau3453[[#This Row],[Date 
du paiement]]="",IF(Tableau3453[[#This Row],[Jours]]&lt;30,Tableau3453[[#This Row],[Montant
de la facture
CHF]],""),"")</f>
        <v/>
      </c>
      <c r="O608" s="384" t="str">
        <f>IF(Tableau3453[[#This Row],[Date 
du paiement]]="",IF(Tableau3453[[#This Row],[Jours]]&gt;30,IF(Tableau3453[[#This Row],[Jours]]&lt;60,Tableau3453[[#This Row],[Montant
de la facture
CHF]],""),""),"")</f>
        <v/>
      </c>
      <c r="P608" s="384" t="str">
        <f>IF(Tableau3453[[#This Row],[Date 
du paiement]]="",IF(Tableau3453[[#This Row],[Jours]]&gt;60,Tableau3453[[#This Row],[Montant
de la facture
CHF]],""),"")</f>
        <v/>
      </c>
      <c r="Q608" s="416"/>
      <c r="R608" s="391" t="str">
        <f>Tableau3453[[#This Row],[Solde 
ouverte
fm]]</f>
        <v/>
      </c>
      <c r="S608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09" spans="1:19" hidden="1" x14ac:dyDescent="0.25">
      <c r="A609" s="362">
        <v>240845</v>
      </c>
      <c r="B609" s="239">
        <v>30</v>
      </c>
      <c r="C609" s="352" t="str">
        <f>IF(Tableau3453[[#This Row],[Date 
du paiement]]="",IF(Tableau3453[[#This Row],[Jours]]&gt;Tableau3453[[#This Row],[Conditions
pmt+]]+5,"oui",""),"")</f>
        <v/>
      </c>
      <c r="D609" s="363" t="s">
        <v>934</v>
      </c>
      <c r="E609" s="364">
        <v>45541</v>
      </c>
      <c r="F609" s="365">
        <v>814.8</v>
      </c>
      <c r="G609" s="242" t="str">
        <f>IF(Tableau3453[[#This Row],[Date 
du paiement]]="",Tableau3453[[#This Row],[Montant
de la facture
CHF]],"")</f>
        <v/>
      </c>
      <c r="H609" s="366"/>
      <c r="I609" s="245">
        <v>45545</v>
      </c>
      <c r="J609" s="367">
        <v>45573</v>
      </c>
      <c r="K609" s="368" t="s">
        <v>58</v>
      </c>
      <c r="L609" s="369"/>
      <c r="M609" s="260">
        <f>IF(Tableau3453[[#This Row],[Date 
du paiement]]="",$D$4-Tableau3453[[#This Row],[Date
de la facture]],Tableau3453[[#This Row],[Date 
du paiement]]-Tableau3453[[#This Row],[Date
de la facture]])</f>
        <v>32</v>
      </c>
      <c r="N609" s="365" t="str">
        <f>IF(Tableau3453[[#This Row],[Date 
du paiement]]="",IF(Tableau3453[[#This Row],[Jours]]&lt;30,Tableau3453[[#This Row],[Montant
de la facture
CHF]],""),"")</f>
        <v/>
      </c>
      <c r="O609" s="365" t="str">
        <f>IF(Tableau3453[[#This Row],[Date 
du paiement]]="",IF(Tableau3453[[#This Row],[Jours]]&gt;30,IF(Tableau3453[[#This Row],[Jours]]&lt;60,Tableau3453[[#This Row],[Montant
de la facture
CHF]],""),""),"")</f>
        <v/>
      </c>
      <c r="P609" s="365" t="str">
        <f>IF(Tableau3453[[#This Row],[Date 
du paiement]]="",IF(Tableau3453[[#This Row],[Jours]]&gt;60,Tableau3453[[#This Row],[Montant
de la facture
CHF]],""),"")</f>
        <v/>
      </c>
      <c r="Q609" s="366"/>
      <c r="R609" s="370" t="str">
        <f>Tableau3453[[#This Row],[Solde 
ouverte
fm]]</f>
        <v/>
      </c>
      <c r="S60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0" spans="1:19" hidden="1" x14ac:dyDescent="0.25">
      <c r="A610" s="453">
        <v>240596</v>
      </c>
      <c r="B610" s="239" t="s">
        <v>860</v>
      </c>
      <c r="C610" s="352" t="str">
        <f>IF(Tableau3453[[#This Row],[Date 
du paiement]]="",IF(Tableau3453[[#This Row],[Jours]]&gt;Tableau3453[[#This Row],[Conditions
pmt+]]+5,"oui",""),"")</f>
        <v/>
      </c>
      <c r="D610" s="465" t="s">
        <v>1577</v>
      </c>
      <c r="E610" s="240">
        <v>45467</v>
      </c>
      <c r="F610" s="468">
        <v>490.95</v>
      </c>
      <c r="G610" s="242" t="str">
        <f>IF(Tableau3453[[#This Row],[Date 
du paiement]]="",Tableau3453[[#This Row],[Montant
de la facture
CHF]],"")</f>
        <v/>
      </c>
      <c r="H610" s="243" t="s">
        <v>1619</v>
      </c>
      <c r="I610" s="245">
        <v>45468</v>
      </c>
      <c r="J610" s="246">
        <v>45608</v>
      </c>
      <c r="K610" s="247" t="s">
        <v>58</v>
      </c>
      <c r="L610" s="264">
        <v>12</v>
      </c>
      <c r="M610" s="462">
        <f>IF(Tableau3453[[#This Row],[Date 
du paiement]]="",$D$4-Tableau3453[[#This Row],[Date
de la facture]],Tableau3453[[#This Row],[Date 
du paiement]]-Tableau3453[[#This Row],[Date
de la facture]])</f>
        <v>141</v>
      </c>
      <c r="N610" s="456" t="str">
        <f>IF(Tableau3453[[#This Row],[Date 
du paiement]]="",IF(Tableau3453[[#This Row],[Jours]]&lt;30,Tableau3453[[#This Row],[Montant
de la facture
CHF]],""),"")</f>
        <v/>
      </c>
      <c r="O610" s="456" t="str">
        <f>IF(Tableau3453[[#This Row],[Date 
du paiement]]="",IF(Tableau3453[[#This Row],[Jours]]&gt;30,IF(Tableau3453[[#This Row],[Jours]]&lt;60,Tableau3453[[#This Row],[Montant
de la facture
CHF]],""),""),"")</f>
        <v/>
      </c>
      <c r="P610" s="456" t="str">
        <f>IF(Tableau3453[[#This Row],[Date 
du paiement]]="",IF(Tableau3453[[#This Row],[Jours]]&gt;60,Tableau3453[[#This Row],[Montant
de la facture
CHF]],""),"")</f>
        <v/>
      </c>
      <c r="Q610" s="463" t="s">
        <v>1718</v>
      </c>
      <c r="R610" s="464" t="str">
        <f>Tableau3453[[#This Row],[Solde 
ouverte
fm]]</f>
        <v/>
      </c>
      <c r="S6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1" spans="1:19" hidden="1" x14ac:dyDescent="0.25">
      <c r="A611" s="268">
        <v>240737</v>
      </c>
      <c r="B611" s="239">
        <v>30</v>
      </c>
      <c r="C611" s="352" t="str">
        <f>IF(Tableau3453[[#This Row],[Date 
du paiement]]="",IF(Tableau3453[[#This Row],[Jours]]&gt;Tableau3453[[#This Row],[Conditions
pmt+]]+5,"oui",""),"")</f>
        <v/>
      </c>
      <c r="D611" s="262" t="s">
        <v>1331</v>
      </c>
      <c r="E611" s="240">
        <v>45516</v>
      </c>
      <c r="F611" s="263">
        <v>3354.9</v>
      </c>
      <c r="G611" s="242" t="str">
        <f>IF(Tableau3453[[#This Row],[Date 
du paiement]]="",Tableau3453[[#This Row],[Montant
de la facture
CHF]],"")</f>
        <v/>
      </c>
      <c r="H611" s="243"/>
      <c r="I611" s="245">
        <v>45517</v>
      </c>
      <c r="J611" s="246">
        <v>45589</v>
      </c>
      <c r="K611" s="247" t="s">
        <v>58</v>
      </c>
      <c r="L611" s="264">
        <v>4</v>
      </c>
      <c r="M611" s="265">
        <f>IF(Tableau3453[[#This Row],[Date 
du paiement]]="",$D$4-Tableau3453[[#This Row],[Date
de la facture]],Tableau3453[[#This Row],[Date 
du paiement]]-Tableau3453[[#This Row],[Date
de la facture]])</f>
        <v>73</v>
      </c>
      <c r="N611" s="263" t="str">
        <f>IF(Tableau3453[[#This Row],[Date 
du paiement]]="",IF(Tableau3453[[#This Row],[Jours]]&lt;30,Tableau3453[[#This Row],[Montant
de la facture
CHF]],""),"")</f>
        <v/>
      </c>
      <c r="O611" s="263" t="str">
        <f>IF(Tableau3453[[#This Row],[Date 
du paiement]]="",IF(Tableau3453[[#This Row],[Jours]]&gt;30,IF(Tableau3453[[#This Row],[Jours]]&lt;60,Tableau3453[[#This Row],[Montant
de la facture
CHF]],""),""),"")</f>
        <v/>
      </c>
      <c r="P611" s="263" t="str">
        <f>IF(Tableau3453[[#This Row],[Date 
du paiement]]="",IF(Tableau3453[[#This Row],[Jours]]&gt;60,Tableau3453[[#This Row],[Montant
de la facture
CHF]],""),"")</f>
        <v/>
      </c>
      <c r="Q611" s="266"/>
      <c r="R611" s="267" t="str">
        <f>Tableau3453[[#This Row],[Solde 
ouverte
fm]]</f>
        <v/>
      </c>
      <c r="S6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2" spans="1:19" hidden="1" x14ac:dyDescent="0.25">
      <c r="A612" s="380">
        <v>240856</v>
      </c>
      <c r="B612" s="408">
        <v>30</v>
      </c>
      <c r="C612" s="381" t="str">
        <f>IF(Tableau3453[[#This Row],[Date 
du paiement]]="",IF(Tableau3453[[#This Row],[Jours]]&gt;Tableau3453[[#This Row],[Conditions
pmt+]]+5,"oui",""),"")</f>
        <v/>
      </c>
      <c r="D612" s="382" t="s">
        <v>880</v>
      </c>
      <c r="E612" s="383">
        <v>45544</v>
      </c>
      <c r="F612" s="384">
        <v>428.55</v>
      </c>
      <c r="G612" s="410" t="str">
        <f>IF(Tableau3453[[#This Row],[Date 
du paiement]]="",Tableau3453[[#This Row],[Montant
de la facture
CHF]],"")</f>
        <v/>
      </c>
      <c r="H612" s="411"/>
      <c r="I612" s="418">
        <v>45545</v>
      </c>
      <c r="J612" s="387">
        <v>45569</v>
      </c>
      <c r="K612" s="388" t="s">
        <v>58</v>
      </c>
      <c r="L612" s="389"/>
      <c r="M612" s="390">
        <f>IF(Tableau3453[[#This Row],[Date 
du paiement]]="",$D$4-Tableau3453[[#This Row],[Date
de la facture]],Tableau3453[[#This Row],[Date 
du paiement]]-Tableau3453[[#This Row],[Date
de la facture]])</f>
        <v>25</v>
      </c>
      <c r="N612" s="384" t="str">
        <f>IF(Tableau3453[[#This Row],[Date 
du paiement]]="",IF(Tableau3453[[#This Row],[Jours]]&lt;30,Tableau3453[[#This Row],[Montant
de la facture
CHF]],""),"")</f>
        <v/>
      </c>
      <c r="O612" s="384" t="str">
        <f>IF(Tableau3453[[#This Row],[Date 
du paiement]]="",IF(Tableau3453[[#This Row],[Jours]]&gt;30,IF(Tableau3453[[#This Row],[Jours]]&lt;60,Tableau3453[[#This Row],[Montant
de la facture
CHF]],""),""),"")</f>
        <v/>
      </c>
      <c r="P612" s="384" t="str">
        <f>IF(Tableau3453[[#This Row],[Date 
du paiement]]="",IF(Tableau3453[[#This Row],[Jours]]&gt;60,Tableau3453[[#This Row],[Montant
de la facture
CHF]],""),"")</f>
        <v/>
      </c>
      <c r="Q612" s="416"/>
      <c r="R612" s="391" t="str">
        <f>Tableau3453[[#This Row],[Solde 
ouverte
fm]]</f>
        <v/>
      </c>
      <c r="S612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3" spans="1:19" hidden="1" x14ac:dyDescent="0.25">
      <c r="A613" s="268">
        <v>240683</v>
      </c>
      <c r="B613" s="239" t="s">
        <v>860</v>
      </c>
      <c r="C613" s="352" t="str">
        <f>IF(Tableau3453[[#This Row],[Date 
du paiement]]="",IF(Tableau3453[[#This Row],[Jours]]&gt;Tableau3453[[#This Row],[Conditions
pmt+]]+5,"oui",""),"")</f>
        <v/>
      </c>
      <c r="D613" s="262" t="s">
        <v>1295</v>
      </c>
      <c r="E613" s="240">
        <v>45523</v>
      </c>
      <c r="F613" s="263">
        <v>22169.65</v>
      </c>
      <c r="G613" s="242" t="str">
        <f>IF(Tableau3453[[#This Row],[Date 
du paiement]]="",Tableau3453[[#This Row],[Montant
de la facture
CHF]],"")</f>
        <v/>
      </c>
      <c r="H613" s="243"/>
      <c r="I613" s="245">
        <v>45526</v>
      </c>
      <c r="J613" s="246">
        <v>45547</v>
      </c>
      <c r="K613" s="247" t="s">
        <v>58</v>
      </c>
      <c r="L613" s="264"/>
      <c r="M613" s="265">
        <f>IF(Tableau3453[[#This Row],[Date 
du paiement]]="",$D$4-Tableau3453[[#This Row],[Date
de la facture]],Tableau3453[[#This Row],[Date 
du paiement]]-Tableau3453[[#This Row],[Date
de la facture]])</f>
        <v>24</v>
      </c>
      <c r="N613" s="263" t="str">
        <f>IF(Tableau3453[[#This Row],[Date 
du paiement]]="",IF(Tableau3453[[#This Row],[Jours]]&lt;30,Tableau3453[[#This Row],[Montant
de la facture
CHF]],""),"")</f>
        <v/>
      </c>
      <c r="O613" s="263" t="str">
        <f>IF(Tableau3453[[#This Row],[Date 
du paiement]]="",IF(Tableau3453[[#This Row],[Jours]]&gt;30,IF(Tableau3453[[#This Row],[Jours]]&lt;60,Tableau3453[[#This Row],[Montant
de la facture
CHF]],""),""),"")</f>
        <v/>
      </c>
      <c r="P613" s="263" t="str">
        <f>IF(Tableau3453[[#This Row],[Date 
du paiement]]="",IF(Tableau3453[[#This Row],[Jours]]&gt;60,Tableau3453[[#This Row],[Montant
de la facture
CHF]],""),"")</f>
        <v/>
      </c>
      <c r="Q613" s="266"/>
      <c r="R613" s="267" t="str">
        <f>Tableau3453[[#This Row],[Solde 
ouverte
fm]]</f>
        <v/>
      </c>
      <c r="S6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4" spans="1:19" hidden="1" x14ac:dyDescent="0.25">
      <c r="A614" s="268">
        <v>240812</v>
      </c>
      <c r="B614" s="239" t="s">
        <v>870</v>
      </c>
      <c r="C614" s="352" t="str">
        <f>IF(Tableau3453[[#This Row],[Date 
du paiement]]="",IF(Tableau3453[[#This Row],[Jours]]&gt;Tableau3453[[#This Row],[Conditions
pmt+]]+5,"oui",""),"")</f>
        <v/>
      </c>
      <c r="D614" s="262" t="s">
        <v>1118</v>
      </c>
      <c r="E614" s="240">
        <v>45541</v>
      </c>
      <c r="F614" s="340">
        <v>302.35000000000002</v>
      </c>
      <c r="G614" s="242" t="str">
        <f>IF(Tableau3453[[#This Row],[Date 
du paiement]]="",Tableau3453[[#This Row],[Montant
de la facture
CHF]],"")</f>
        <v/>
      </c>
      <c r="H614" s="243"/>
      <c r="I614" s="245">
        <v>45541</v>
      </c>
      <c r="J614" s="246">
        <v>45525</v>
      </c>
      <c r="K614" s="247" t="s">
        <v>907</v>
      </c>
      <c r="L614" s="264"/>
      <c r="M614" s="265">
        <f>IF(Tableau3453[[#This Row],[Date 
du paiement]]="",$D$4-Tableau3453[[#This Row],[Date
de la facture]],Tableau3453[[#This Row],[Date 
du paiement]]-Tableau3453[[#This Row],[Date
de la facture]])</f>
        <v>-16</v>
      </c>
      <c r="N614" s="263" t="str">
        <f>IF(Tableau3453[[#This Row],[Date 
du paiement]]="",IF(Tableau3453[[#This Row],[Jours]]&lt;30,Tableau3453[[#This Row],[Montant
de la facture
CHF]],""),"")</f>
        <v/>
      </c>
      <c r="O614" s="263" t="str">
        <f>IF(Tableau3453[[#This Row],[Date 
du paiement]]="",IF(Tableau3453[[#This Row],[Jours]]&gt;30,IF(Tableau3453[[#This Row],[Jours]]&lt;60,Tableau3453[[#This Row],[Montant
de la facture
CHF]],""),""),"")</f>
        <v/>
      </c>
      <c r="P614" s="263" t="str">
        <f>IF(Tableau3453[[#This Row],[Date 
du paiement]]="",IF(Tableau3453[[#This Row],[Jours]]&gt;60,Tableau3453[[#This Row],[Montant
de la facture
CHF]],""),"")</f>
        <v/>
      </c>
      <c r="Q614" s="266"/>
      <c r="R614" s="267" t="str">
        <f>Tableau3453[[#This Row],[Solde 
ouverte
fm]]</f>
        <v/>
      </c>
      <c r="S61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5" spans="1:19" s="47" customFormat="1" hidden="1" x14ac:dyDescent="0.25">
      <c r="A615" s="268">
        <v>240840</v>
      </c>
      <c r="B615" s="239">
        <v>30</v>
      </c>
      <c r="C615" s="352" t="str">
        <f>IF(Tableau3453[[#This Row],[Date 
du paiement]]="",IF(Tableau3453[[#This Row],[Jours]]&gt;Tableau3453[[#This Row],[Conditions
pmt+]]+5,"oui",""),"")</f>
        <v/>
      </c>
      <c r="D615" s="262" t="s">
        <v>902</v>
      </c>
      <c r="E615" s="240">
        <v>45544</v>
      </c>
      <c r="F615" s="263">
        <v>1037.25</v>
      </c>
      <c r="G615" s="242" t="str">
        <f>IF(Tableau3453[[#This Row],[Date 
du paiement]]="",Tableau3453[[#This Row],[Montant
de la facture
CHF]],"")</f>
        <v/>
      </c>
      <c r="H615" s="243"/>
      <c r="I615" s="245">
        <v>45545</v>
      </c>
      <c r="J615" s="246">
        <v>45569</v>
      </c>
      <c r="K615" s="247" t="s">
        <v>58</v>
      </c>
      <c r="L615" s="264"/>
      <c r="M615" s="265">
        <f>IF(Tableau3453[[#This Row],[Date 
du paiement]]="",$D$4-Tableau3453[[#This Row],[Date
de la facture]],Tableau3453[[#This Row],[Date 
du paiement]]-Tableau3453[[#This Row],[Date
de la facture]])</f>
        <v>25</v>
      </c>
      <c r="N615" s="263" t="str">
        <f>IF(Tableau3453[[#This Row],[Date 
du paiement]]="",IF(Tableau3453[[#This Row],[Jours]]&lt;30,Tableau3453[[#This Row],[Montant
de la facture
CHF]],""),"")</f>
        <v/>
      </c>
      <c r="O615" s="263" t="str">
        <f>IF(Tableau3453[[#This Row],[Date 
du paiement]]="",IF(Tableau3453[[#This Row],[Jours]]&gt;30,IF(Tableau3453[[#This Row],[Jours]]&lt;60,Tableau3453[[#This Row],[Montant
de la facture
CHF]],""),""),"")</f>
        <v/>
      </c>
      <c r="P615" s="263" t="str">
        <f>IF(Tableau3453[[#This Row],[Date 
du paiement]]="",IF(Tableau3453[[#This Row],[Jours]]&gt;60,Tableau3453[[#This Row],[Montant
de la facture
CHF]],""),"")</f>
        <v/>
      </c>
      <c r="Q615" s="266"/>
      <c r="R615" s="267" t="str">
        <f>Tableau3453[[#This Row],[Solde 
ouverte
fm]]</f>
        <v/>
      </c>
      <c r="S61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6" spans="1:19" hidden="1" x14ac:dyDescent="0.25">
      <c r="A616" s="268">
        <v>240902</v>
      </c>
      <c r="B616" s="239">
        <v>30</v>
      </c>
      <c r="C616" s="352" t="str">
        <f>IF(Tableau3453[[#This Row],[Date 
du paiement]]="",IF(Tableau3453[[#This Row],[Jours]]&gt;Tableau3453[[#This Row],[Conditions
pmt+]]+5,"oui",""),"")</f>
        <v/>
      </c>
      <c r="D616" s="373" t="s">
        <v>880</v>
      </c>
      <c r="E616" s="240">
        <v>45558</v>
      </c>
      <c r="F616" s="375">
        <v>1519.95</v>
      </c>
      <c r="G616" s="242" t="str">
        <f>IF(Tableau3453[[#This Row],[Date 
du paiement]]="",Tableau3453[[#This Row],[Montant
de la facture
CHF]],"")</f>
        <v/>
      </c>
      <c r="H616" s="243"/>
      <c r="I616" s="245">
        <v>45559</v>
      </c>
      <c r="J616" s="246">
        <v>45588</v>
      </c>
      <c r="K616" s="247" t="s">
        <v>58</v>
      </c>
      <c r="L616" s="264"/>
      <c r="M616" s="265">
        <f>IF(Tableau3453[[#This Row],[Date 
du paiement]]="",$D$4-Tableau3453[[#This Row],[Date
de la facture]],Tableau3453[[#This Row],[Date 
du paiement]]-Tableau3453[[#This Row],[Date
de la facture]])</f>
        <v>30</v>
      </c>
      <c r="N616" s="263" t="str">
        <f>IF(Tableau3453[[#This Row],[Date 
du paiement]]="",IF(Tableau3453[[#This Row],[Jours]]&lt;30,Tableau3453[[#This Row],[Montant
de la facture
CHF]],""),"")</f>
        <v/>
      </c>
      <c r="O616" s="263" t="str">
        <f>IF(Tableau3453[[#This Row],[Date 
du paiement]]="",IF(Tableau3453[[#This Row],[Jours]]&gt;30,IF(Tableau3453[[#This Row],[Jours]]&lt;60,Tableau3453[[#This Row],[Montant
de la facture
CHF]],""),""),"")</f>
        <v/>
      </c>
      <c r="P616" s="263" t="str">
        <f>IF(Tableau3453[[#This Row],[Date 
du paiement]]="",IF(Tableau3453[[#This Row],[Jours]]&gt;60,Tableau3453[[#This Row],[Montant
de la facture
CHF]],""),"")</f>
        <v/>
      </c>
      <c r="Q616" s="266"/>
      <c r="R616" s="267" t="str">
        <f>Tableau3453[[#This Row],[Solde 
ouverte
fm]]</f>
        <v/>
      </c>
      <c r="S61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7" spans="1:19" hidden="1" x14ac:dyDescent="0.25">
      <c r="A617" s="341">
        <v>240814</v>
      </c>
      <c r="B617" s="408" t="s">
        <v>860</v>
      </c>
      <c r="C617" s="427" t="str">
        <f>IF(Tableau3453[[#This Row],[Date 
du paiement]]="",IF(Tableau3453[[#This Row],[Jours]]&gt;Tableau3453[[#This Row],[Conditions
pmt+]]+5,"oui",""),"")</f>
        <v/>
      </c>
      <c r="D617" s="343" t="s">
        <v>929</v>
      </c>
      <c r="E617" s="383">
        <v>45531</v>
      </c>
      <c r="F617" s="345">
        <v>329.25</v>
      </c>
      <c r="G617" s="410" t="str">
        <f>IF(Tableau3453[[#This Row],[Date 
du paiement]]="",Tableau3453[[#This Row],[Montant
de la facture
CHF]],"")</f>
        <v/>
      </c>
      <c r="H617" s="385"/>
      <c r="I617" s="386">
        <v>45531</v>
      </c>
      <c r="J617" s="346">
        <v>45545</v>
      </c>
      <c r="K617" s="347" t="s">
        <v>58</v>
      </c>
      <c r="L617" s="348"/>
      <c r="M617" s="349">
        <f>IF(Tableau3453[[#This Row],[Date 
du paiement]]="",$D$4-Tableau3453[[#This Row],[Date
de la facture]],Tableau3453[[#This Row],[Date 
du paiement]]-Tableau3453[[#This Row],[Date
de la facture]])</f>
        <v>14</v>
      </c>
      <c r="N617" s="345" t="str">
        <f>IF(Tableau3453[[#This Row],[Date 
du paiement]]="",IF(Tableau3453[[#This Row],[Jours]]&lt;30,Tableau3453[[#This Row],[Montant
de la facture
CHF]],""),"")</f>
        <v/>
      </c>
      <c r="O617" s="345" t="str">
        <f>IF(Tableau3453[[#This Row],[Date 
du paiement]]="",IF(Tableau3453[[#This Row],[Jours]]&gt;30,IF(Tableau3453[[#This Row],[Jours]]&lt;60,Tableau3453[[#This Row],[Montant
de la facture
CHF]],""),""),"")</f>
        <v/>
      </c>
      <c r="P617" s="345" t="str">
        <f>IF(Tableau3453[[#This Row],[Date 
du paiement]]="",IF(Tableau3453[[#This Row],[Jours]]&gt;60,Tableau3453[[#This Row],[Montant
de la facture
CHF]],""),"")</f>
        <v/>
      </c>
      <c r="Q617" s="351"/>
      <c r="R617" s="350" t="str">
        <f>Tableau3453[[#This Row],[Solde 
ouverte
fm]]</f>
        <v/>
      </c>
      <c r="S617" s="34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8" spans="1:19" hidden="1" x14ac:dyDescent="0.25">
      <c r="A618" s="323">
        <v>240715</v>
      </c>
      <c r="B618" s="324">
        <v>30</v>
      </c>
      <c r="C618" s="361" t="str">
        <f>IF(Tableau3453[[#This Row],[Date 
du paiement]]="",IF(Tableau3453[[#This Row],[Jours]]&gt;Tableau3453[[#This Row],[Conditions
pmt+]]+5,"oui",""),"")</f>
        <v/>
      </c>
      <c r="D618" s="325" t="s">
        <v>929</v>
      </c>
      <c r="E618" s="240">
        <v>45533</v>
      </c>
      <c r="F618" s="327">
        <v>1027.1500000000001</v>
      </c>
      <c r="G618" s="242" t="str">
        <f>IF(Tableau3453[[#This Row],[Date 
du paiement]]="",Tableau3453[[#This Row],[Montant
de la facture
CHF]],"")</f>
        <v/>
      </c>
      <c r="H618" s="328"/>
      <c r="I618" s="245">
        <v>45534</v>
      </c>
      <c r="J618" s="329">
        <v>45545</v>
      </c>
      <c r="K618" s="330" t="s">
        <v>58</v>
      </c>
      <c r="L618" s="331"/>
      <c r="M618" s="332">
        <f>IF(Tableau3453[[#This Row],[Date 
du paiement]]="",$D$4-Tableau3453[[#This Row],[Date
de la facture]],Tableau3453[[#This Row],[Date 
du paiement]]-Tableau3453[[#This Row],[Date
de la facture]])</f>
        <v>12</v>
      </c>
      <c r="N618" s="327" t="str">
        <f>IF(Tableau3453[[#This Row],[Date 
du paiement]]="",IF(Tableau3453[[#This Row],[Jours]]&lt;30,Tableau3453[[#This Row],[Montant
de la facture
CHF]],""),"")</f>
        <v/>
      </c>
      <c r="O618" s="327" t="str">
        <f>IF(Tableau3453[[#This Row],[Date 
du paiement]]="",IF(Tableau3453[[#This Row],[Jours]]&gt;30,IF(Tableau3453[[#This Row],[Jours]]&lt;60,Tableau3453[[#This Row],[Montant
de la facture
CHF]],""),""),"")</f>
        <v/>
      </c>
      <c r="P618" s="327" t="str">
        <f>IF(Tableau3453[[#This Row],[Date 
du paiement]]="",IF(Tableau3453[[#This Row],[Jours]]&gt;60,Tableau3453[[#This Row],[Montant
de la facture
CHF]],""),"")</f>
        <v/>
      </c>
      <c r="Q618" s="333"/>
      <c r="R618" s="334" t="str">
        <f>Tableau3453[[#This Row],[Solde 
ouverte
fm]]</f>
        <v/>
      </c>
      <c r="S618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19" spans="1:19" x14ac:dyDescent="0.25">
      <c r="A619" s="473">
        <v>240781</v>
      </c>
      <c r="B619" s="454" t="s">
        <v>860</v>
      </c>
      <c r="C619" s="495" t="str">
        <f ca="1">IF(Tableau3453[[#This Row],[Date 
du paiement]]="",IF(Tableau3453[[#This Row],[Jours]]&gt;Tableau3453[[#This Row],[Conditions
pmt+]]+5,"oui",""),"")</f>
        <v>oui</v>
      </c>
      <c r="D619" s="498" t="s">
        <v>1699</v>
      </c>
      <c r="E619" s="455">
        <v>45581</v>
      </c>
      <c r="F619" s="499">
        <v>15727.7</v>
      </c>
      <c r="G619" s="457">
        <f>IF(Tableau3453[[#This Row],[Date 
du paiement]]="",Tableau3453[[#This Row],[Montant
de la facture
CHF]],"")</f>
        <v>15727.7</v>
      </c>
      <c r="H619" s="458"/>
      <c r="I619" s="459">
        <v>45593</v>
      </c>
      <c r="J619" s="460"/>
      <c r="K619" s="461"/>
      <c r="L619" s="469"/>
      <c r="M619" s="470">
        <f ca="1">IF(Tableau3453[[#This Row],[Date 
du paiement]]="",$D$4-Tableau3453[[#This Row],[Date
de la facture]],Tableau3453[[#This Row],[Date 
du paiement]]-Tableau3453[[#This Row],[Date
de la facture]])</f>
        <v>36.46942534721893</v>
      </c>
      <c r="N619" s="468" t="str">
        <f ca="1">IF(Tableau3453[[#This Row],[Date 
du paiement]]="",IF(Tableau3453[[#This Row],[Jours]]&lt;30,Tableau3453[[#This Row],[Montant
de la facture
CHF]],""),"")</f>
        <v/>
      </c>
      <c r="O619" s="468">
        <f ca="1">IF(Tableau3453[[#This Row],[Date 
du paiement]]="",IF(Tableau3453[[#This Row],[Jours]]&gt;30,IF(Tableau3453[[#This Row],[Jours]]&lt;60,Tableau3453[[#This Row],[Montant
de la facture
CHF]],""),""),"")</f>
        <v>15727.7</v>
      </c>
      <c r="P619" s="468" t="str">
        <f ca="1">IF(Tableau3453[[#This Row],[Date 
du paiement]]="",IF(Tableau3453[[#This Row],[Jours]]&gt;60,Tableau3453[[#This Row],[Montant
de la facture
CHF]],""),"")</f>
        <v/>
      </c>
      <c r="Q619" s="471" t="s">
        <v>1726</v>
      </c>
      <c r="R619" s="472">
        <f>Tableau3453[[#This Row],[Solde 
ouverte
fm]]</f>
        <v>15727.7</v>
      </c>
      <c r="S619" s="468">
        <f ca="1">IF(Tableau3453[[#This Row],[Date 
du paiement]]="",IF(Tableau3453[[#This Row],[Jours]]-Tableau3453[[#This Row],[Conditions
pmt+]]&gt;0,Tableau3453[[#This Row],[Montant
de la facture
CHF]],"0.00"),"0.00")</f>
        <v>15727.7</v>
      </c>
    </row>
    <row r="620" spans="1:19" hidden="1" x14ac:dyDescent="0.25">
      <c r="A620" s="268">
        <v>240906</v>
      </c>
      <c r="B620" s="239">
        <v>30</v>
      </c>
      <c r="C620" s="352" t="str">
        <f>IF(Tableau3453[[#This Row],[Date 
du paiement]]="",IF(Tableau3453[[#This Row],[Jours]]&gt;Tableau3453[[#This Row],[Conditions
pmt+]]+5,"oui",""),"")</f>
        <v/>
      </c>
      <c r="D620" s="262" t="s">
        <v>934</v>
      </c>
      <c r="E620" s="240">
        <v>45567</v>
      </c>
      <c r="F620" s="263">
        <v>1341.65</v>
      </c>
      <c r="G620" s="396" t="str">
        <f>IF(Tableau3453[[#This Row],[Date 
du paiement]]="",Tableau3453[[#This Row],[Montant
de la facture
CHF]],"")</f>
        <v/>
      </c>
      <c r="H620" s="243"/>
      <c r="I620" s="245">
        <v>45568</v>
      </c>
      <c r="J620" s="246">
        <v>45601</v>
      </c>
      <c r="K620" s="247" t="s">
        <v>58</v>
      </c>
      <c r="L620" s="264"/>
      <c r="M620" s="265">
        <f>IF(Tableau3453[[#This Row],[Date 
du paiement]]="",$D$4-Tableau3453[[#This Row],[Date
de la facture]],Tableau3453[[#This Row],[Date 
du paiement]]-Tableau3453[[#This Row],[Date
de la facture]])</f>
        <v>34</v>
      </c>
      <c r="N620" s="263" t="str">
        <f>IF(Tableau3453[[#This Row],[Date 
du paiement]]="",IF(Tableau3453[[#This Row],[Jours]]&lt;30,Tableau3453[[#This Row],[Montant
de la facture
CHF]],""),"")</f>
        <v/>
      </c>
      <c r="O620" s="263" t="str">
        <f>IF(Tableau3453[[#This Row],[Date 
du paiement]]="",IF(Tableau3453[[#This Row],[Jours]]&gt;30,IF(Tableau3453[[#This Row],[Jours]]&lt;60,Tableau3453[[#This Row],[Montant
de la facture
CHF]],""),""),"")</f>
        <v/>
      </c>
      <c r="P620" s="263" t="str">
        <f>IF(Tableau3453[[#This Row],[Date 
du paiement]]="",IF(Tableau3453[[#This Row],[Jours]]&gt;60,Tableau3453[[#This Row],[Montant
de la facture
CHF]],""),"")</f>
        <v/>
      </c>
      <c r="Q620" s="266"/>
      <c r="R620" s="267" t="str">
        <f>Tableau3453[[#This Row],[Solde 
ouverte
fm]]</f>
        <v/>
      </c>
      <c r="S62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1" spans="1:19" hidden="1" x14ac:dyDescent="0.25">
      <c r="A621" s="268">
        <v>240648</v>
      </c>
      <c r="B621" s="239">
        <v>30</v>
      </c>
      <c r="C621" s="495" t="str">
        <f>IF(Tableau3453[[#This Row],[Date 
du paiement]]="",IF(Tableau3453[[#This Row],[Jours]]&gt;Tableau3453[[#This Row],[Conditions
pmt+]]+5,"oui",""),"")</f>
        <v/>
      </c>
      <c r="D621" s="496" t="s">
        <v>1109</v>
      </c>
      <c r="E621" s="240">
        <v>45469</v>
      </c>
      <c r="F621" s="468">
        <v>2168.3000000000002</v>
      </c>
      <c r="G621" s="457" t="str">
        <f>IF(Tableau3453[[#This Row],[Date 
du paiement]]="",Tableau3453[[#This Row],[Montant
de la facture
CHF]],"")</f>
        <v/>
      </c>
      <c r="H621" s="243" t="s">
        <v>1620</v>
      </c>
      <c r="I621" s="245">
        <v>45470</v>
      </c>
      <c r="J621" s="246">
        <v>45615</v>
      </c>
      <c r="K621" s="247" t="s">
        <v>58</v>
      </c>
      <c r="L621" s="264">
        <v>10</v>
      </c>
      <c r="M621" s="265">
        <f>IF(Tableau3453[[#This Row],[Date 
du paiement]]="",$D$4-Tableau3453[[#This Row],[Date
de la facture]],Tableau3453[[#This Row],[Date 
du paiement]]-Tableau3453[[#This Row],[Date
de la facture]])</f>
        <v>146</v>
      </c>
      <c r="N621" s="468" t="str">
        <f>IF(Tableau3453[[#This Row],[Date 
du paiement]]="",IF(Tableau3453[[#This Row],[Jours]]&lt;30,Tableau3453[[#This Row],[Montant
de la facture
CHF]],""),"")</f>
        <v/>
      </c>
      <c r="O621" s="263" t="str">
        <f>IF(Tableau3453[[#This Row],[Date 
du paiement]]="",IF(Tableau3453[[#This Row],[Jours]]&gt;30,IF(Tableau3453[[#This Row],[Jours]]&lt;60,Tableau3453[[#This Row],[Montant
de la facture
CHF]],""),""),"")</f>
        <v/>
      </c>
      <c r="P621" s="468" t="str">
        <f>IF(Tableau3453[[#This Row],[Date 
du paiement]]="",IF(Tableau3453[[#This Row],[Jours]]&gt;60,Tableau3453[[#This Row],[Montant
de la facture
CHF]],""),"")</f>
        <v/>
      </c>
      <c r="Q621" s="471" t="s">
        <v>1717</v>
      </c>
      <c r="R621" s="472" t="str">
        <f>Tableau3453[[#This Row],[Solde 
ouverte
fm]]</f>
        <v/>
      </c>
      <c r="S62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2" spans="1:19" hidden="1" x14ac:dyDescent="0.25">
      <c r="A622" s="268">
        <v>240916</v>
      </c>
      <c r="B622" s="239">
        <v>30</v>
      </c>
      <c r="C622" s="352" t="str">
        <f>IF(Tableau3453[[#This Row],[Date 
du paiement]]="",IF(Tableau3453[[#This Row],[Jours]]&gt;Tableau3453[[#This Row],[Conditions
pmt+]]+5,"oui",""),"")</f>
        <v/>
      </c>
      <c r="D622" s="251" t="s">
        <v>1262</v>
      </c>
      <c r="E622" s="240">
        <v>45561</v>
      </c>
      <c r="F622" s="397">
        <v>172.85</v>
      </c>
      <c r="G622" s="396" t="str">
        <f>IF(Tableau3453[[#This Row],[Date 
du paiement]]="",Tableau3453[[#This Row],[Montant
de la facture
CHF]],"")</f>
        <v/>
      </c>
      <c r="H622" s="243"/>
      <c r="I622" s="245">
        <v>45561</v>
      </c>
      <c r="J622" s="246">
        <v>45600</v>
      </c>
      <c r="K622" s="247" t="s">
        <v>58</v>
      </c>
      <c r="L622" s="264"/>
      <c r="M622" s="265">
        <f>IF(Tableau3453[[#This Row],[Date 
du paiement]]="",$D$4-Tableau3453[[#This Row],[Date
de la facture]],Tableau3453[[#This Row],[Date 
du paiement]]-Tableau3453[[#This Row],[Date
de la facture]])</f>
        <v>39</v>
      </c>
      <c r="N622" s="263" t="str">
        <f>IF(Tableau3453[[#This Row],[Date 
du paiement]]="",IF(Tableau3453[[#This Row],[Jours]]&lt;30,Tableau3453[[#This Row],[Montant
de la facture
CHF]],""),"")</f>
        <v/>
      </c>
      <c r="O622" s="263" t="str">
        <f>IF(Tableau3453[[#This Row],[Date 
du paiement]]="",IF(Tableau3453[[#This Row],[Jours]]&gt;30,IF(Tableau3453[[#This Row],[Jours]]&lt;60,Tableau3453[[#This Row],[Montant
de la facture
CHF]],""),""),"")</f>
        <v/>
      </c>
      <c r="P622" s="263" t="str">
        <f>IF(Tableau3453[[#This Row],[Date 
du paiement]]="",IF(Tableau3453[[#This Row],[Jours]]&gt;60,Tableau3453[[#This Row],[Montant
de la facture
CHF]],""),"")</f>
        <v/>
      </c>
      <c r="Q622" s="266"/>
      <c r="R622" s="267" t="str">
        <f>Tableau3453[[#This Row],[Solde 
ouverte
fm]]</f>
        <v/>
      </c>
      <c r="S62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3" spans="1:19" hidden="1" x14ac:dyDescent="0.25">
      <c r="A623" s="268">
        <v>240920</v>
      </c>
      <c r="B623" s="239">
        <v>30</v>
      </c>
      <c r="C623" s="352" t="str">
        <f>IF(Tableau3453[[#This Row],[Date 
du paiement]]="",IF(Tableau3453[[#This Row],[Jours]]&gt;Tableau3453[[#This Row],[Conditions
pmt+]]+5,"oui",""),"")</f>
        <v/>
      </c>
      <c r="D623" s="373" t="s">
        <v>1537</v>
      </c>
      <c r="E623" s="240">
        <v>45562</v>
      </c>
      <c r="F623" s="397">
        <v>428.55</v>
      </c>
      <c r="G623" s="396" t="str">
        <f>IF(Tableau3453[[#This Row],[Date 
du paiement]]="",Tableau3453[[#This Row],[Montant
de la facture
CHF]],"")</f>
        <v/>
      </c>
      <c r="H623" s="243"/>
      <c r="I623" s="245">
        <v>45562</v>
      </c>
      <c r="J623" s="246">
        <v>45587</v>
      </c>
      <c r="K623" s="247" t="s">
        <v>58</v>
      </c>
      <c r="L623" s="264"/>
      <c r="M623" s="265">
        <f>IF(Tableau3453[[#This Row],[Date 
du paiement]]="",$D$4-Tableau3453[[#This Row],[Date
de la facture]],Tableau3453[[#This Row],[Date 
du paiement]]-Tableau3453[[#This Row],[Date
de la facture]])</f>
        <v>25</v>
      </c>
      <c r="N623" s="263" t="str">
        <f>IF(Tableau3453[[#This Row],[Date 
du paiement]]="",IF(Tableau3453[[#This Row],[Jours]]&lt;30,Tableau3453[[#This Row],[Montant
de la facture
CHF]],""),"")</f>
        <v/>
      </c>
      <c r="O623" s="263" t="str">
        <f>IF(Tableau3453[[#This Row],[Date 
du paiement]]="",IF(Tableau3453[[#This Row],[Jours]]&gt;30,IF(Tableau3453[[#This Row],[Jours]]&lt;60,Tableau3453[[#This Row],[Montant
de la facture
CHF]],""),""),"")</f>
        <v/>
      </c>
      <c r="P623" s="263" t="str">
        <f>IF(Tableau3453[[#This Row],[Date 
du paiement]]="",IF(Tableau3453[[#This Row],[Jours]]&gt;60,Tableau3453[[#This Row],[Montant
de la facture
CHF]],""),"")</f>
        <v/>
      </c>
      <c r="Q623" s="266"/>
      <c r="R623" s="267" t="str">
        <f>Tableau3453[[#This Row],[Solde 
ouverte
fm]]</f>
        <v/>
      </c>
      <c r="S6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4" spans="1:19" hidden="1" x14ac:dyDescent="0.25">
      <c r="A624" s="268">
        <v>240907</v>
      </c>
      <c r="B624" s="239" t="s">
        <v>860</v>
      </c>
      <c r="C624" s="352" t="str">
        <f>IF(Tableau3453[[#This Row],[Date 
du paiement]]="",IF(Tableau3453[[#This Row],[Jours]]&gt;Tableau3453[[#This Row],[Conditions
pmt+]]+5,"oui",""),"")</f>
        <v/>
      </c>
      <c r="D624" s="262" t="s">
        <v>1263</v>
      </c>
      <c r="E624" s="240">
        <v>45566</v>
      </c>
      <c r="F624" s="263">
        <v>345.45</v>
      </c>
      <c r="G624" s="396" t="str">
        <f>IF(Tableau3453[[#This Row],[Date 
du paiement]]="",Tableau3453[[#This Row],[Montant
de la facture
CHF]],"")</f>
        <v/>
      </c>
      <c r="H624" s="243"/>
      <c r="I624" s="245">
        <v>45568</v>
      </c>
      <c r="J624" s="246">
        <v>45595</v>
      </c>
      <c r="K624" s="247" t="s">
        <v>58</v>
      </c>
      <c r="L624" s="264"/>
      <c r="M624" s="265">
        <f>IF(Tableau3453[[#This Row],[Date 
du paiement]]="",$D$4-Tableau3453[[#This Row],[Date
de la facture]],Tableau3453[[#This Row],[Date 
du paiement]]-Tableau3453[[#This Row],[Date
de la facture]])</f>
        <v>29</v>
      </c>
      <c r="N624" s="263" t="str">
        <f>IF(Tableau3453[[#This Row],[Date 
du paiement]]="",IF(Tableau3453[[#This Row],[Jours]]&lt;30,Tableau3453[[#This Row],[Montant
de la facture
CHF]],""),"")</f>
        <v/>
      </c>
      <c r="O624" s="263" t="str">
        <f>IF(Tableau3453[[#This Row],[Date 
du paiement]]="",IF(Tableau3453[[#This Row],[Jours]]&gt;30,IF(Tableau3453[[#This Row],[Jours]]&lt;60,Tableau3453[[#This Row],[Montant
de la facture
CHF]],""),""),"")</f>
        <v/>
      </c>
      <c r="P624" s="263" t="str">
        <f>IF(Tableau3453[[#This Row],[Date 
du paiement]]="",IF(Tableau3453[[#This Row],[Jours]]&gt;60,Tableau3453[[#This Row],[Montant
de la facture
CHF]],""),"")</f>
        <v/>
      </c>
      <c r="Q624" s="266"/>
      <c r="R624" s="267" t="str">
        <f>Tableau3453[[#This Row],[Solde 
ouverte
fm]]</f>
        <v/>
      </c>
      <c r="S6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5" spans="1:19" hidden="1" x14ac:dyDescent="0.25">
      <c r="A625" s="341">
        <v>240866</v>
      </c>
      <c r="B625" s="342" t="s">
        <v>860</v>
      </c>
      <c r="C625" s="381" t="str">
        <f>IF(Tableau3453[[#This Row],[Date 
du paiement]]="",IF(Tableau3453[[#This Row],[Jours]]&gt;Tableau3453[[#This Row],[Conditions
pmt+]]+5,"oui",""),"")</f>
        <v/>
      </c>
      <c r="D625" s="343" t="s">
        <v>1503</v>
      </c>
      <c r="E625" s="344">
        <v>45547</v>
      </c>
      <c r="F625" s="345">
        <v>27.2</v>
      </c>
      <c r="G625" s="410" t="str">
        <f>IF(Tableau3453[[#This Row],[Date 
du paiement]]="",Tableau3453[[#This Row],[Montant
de la facture
CHF]],"")</f>
        <v/>
      </c>
      <c r="H625" s="385"/>
      <c r="I625" s="418">
        <v>45547</v>
      </c>
      <c r="J625" s="346">
        <v>45547</v>
      </c>
      <c r="K625" s="347" t="s">
        <v>982</v>
      </c>
      <c r="L625" s="348"/>
      <c r="M625" s="349">
        <f>IF(Tableau3453[[#This Row],[Date 
du paiement]]="",$D$4-Tableau3453[[#This Row],[Date
de la facture]],Tableau3453[[#This Row],[Date 
du paiement]]-Tableau3453[[#This Row],[Date
de la facture]])</f>
        <v>0</v>
      </c>
      <c r="N625" s="345" t="str">
        <f>IF(Tableau3453[[#This Row],[Date 
du paiement]]="",IF(Tableau3453[[#This Row],[Jours]]&lt;30,Tableau3453[[#This Row],[Montant
de la facture
CHF]],""),"")</f>
        <v/>
      </c>
      <c r="O625" s="345" t="str">
        <f>IF(Tableau3453[[#This Row],[Date 
du paiement]]="",IF(Tableau3453[[#This Row],[Jours]]&gt;30,IF(Tableau3453[[#This Row],[Jours]]&lt;60,Tableau3453[[#This Row],[Montant
de la facture
CHF]],""),""),"")</f>
        <v/>
      </c>
      <c r="P625" s="345" t="str">
        <f>IF(Tableau3453[[#This Row],[Date 
du paiement]]="",IF(Tableau3453[[#This Row],[Jours]]&gt;60,Tableau3453[[#This Row],[Montant
de la facture
CHF]],""),"")</f>
        <v/>
      </c>
      <c r="Q625" s="351"/>
      <c r="R625" s="350" t="str">
        <f>Tableau3453[[#This Row],[Solde 
ouverte
fm]]</f>
        <v/>
      </c>
      <c r="S625" s="34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6" spans="1:19" hidden="1" x14ac:dyDescent="0.25">
      <c r="A626" s="268">
        <v>240928</v>
      </c>
      <c r="B626" s="239" t="s">
        <v>860</v>
      </c>
      <c r="C626" s="352" t="str">
        <f>IF(Tableau3453[[#This Row],[Date 
du paiement]]="",IF(Tableau3453[[#This Row],[Jours]]&gt;Tableau3453[[#This Row],[Conditions
pmt+]]+5,"oui",""),"")</f>
        <v/>
      </c>
      <c r="D626" s="251" t="s">
        <v>1262</v>
      </c>
      <c r="E626" s="240">
        <v>45562</v>
      </c>
      <c r="F626" s="397">
        <v>224.2</v>
      </c>
      <c r="G626" s="396" t="str">
        <f>IF(Tableau3453[[#This Row],[Date 
du paiement]]="",Tableau3453[[#This Row],[Montant
de la facture
CHF]],"")</f>
        <v/>
      </c>
      <c r="H626" s="243"/>
      <c r="I626" s="245">
        <v>45565</v>
      </c>
      <c r="J626" s="246">
        <v>45600</v>
      </c>
      <c r="K626" s="247" t="s">
        <v>58</v>
      </c>
      <c r="L626" s="264"/>
      <c r="M626" s="265">
        <f>IF(Tableau3453[[#This Row],[Date 
du paiement]]="",$D$4-Tableau3453[[#This Row],[Date
de la facture]],Tableau3453[[#This Row],[Date 
du paiement]]-Tableau3453[[#This Row],[Date
de la facture]])</f>
        <v>38</v>
      </c>
      <c r="N626" s="263" t="str">
        <f>IF(Tableau3453[[#This Row],[Date 
du paiement]]="",IF(Tableau3453[[#This Row],[Jours]]&lt;30,Tableau3453[[#This Row],[Montant
de la facture
CHF]],""),"")</f>
        <v/>
      </c>
      <c r="O626" s="263" t="str">
        <f>IF(Tableau3453[[#This Row],[Date 
du paiement]]="",IF(Tableau3453[[#This Row],[Jours]]&gt;30,IF(Tableau3453[[#This Row],[Jours]]&lt;60,Tableau3453[[#This Row],[Montant
de la facture
CHF]],""),""),"")</f>
        <v/>
      </c>
      <c r="P626" s="263" t="str">
        <f>IF(Tableau3453[[#This Row],[Date 
du paiement]]="",IF(Tableau3453[[#This Row],[Jours]]&gt;60,Tableau3453[[#This Row],[Montant
de la facture
CHF]],""),"")</f>
        <v/>
      </c>
      <c r="Q626" s="266"/>
      <c r="R626" s="267" t="str">
        <f>Tableau3453[[#This Row],[Solde 
ouverte
fm]]</f>
        <v/>
      </c>
      <c r="S62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7" spans="1:19" hidden="1" x14ac:dyDescent="0.25">
      <c r="A627" s="268">
        <v>240991</v>
      </c>
      <c r="B627" s="239">
        <v>0</v>
      </c>
      <c r="C627" s="406" t="str">
        <f>IF(Tableau3453[[#This Row],[Date 
du paiement]]="",IF(Tableau3453[[#This Row],[Jours]]&gt;Tableau3453[[#This Row],[Conditions
pmt+]]+5,"oui",""),"")</f>
        <v/>
      </c>
      <c r="D627" s="262" t="s">
        <v>1693</v>
      </c>
      <c r="E627" s="240">
        <v>45587</v>
      </c>
      <c r="F627" s="263">
        <v>121.65</v>
      </c>
      <c r="G627" s="396" t="str">
        <f>IF(Tableau3453[[#This Row],[Date 
du paiement]]="",Tableau3453[[#This Row],[Montant
de la facture
CHF]],"")</f>
        <v/>
      </c>
      <c r="H627" s="243"/>
      <c r="I627" s="245">
        <v>45589</v>
      </c>
      <c r="J627" s="246">
        <v>45600</v>
      </c>
      <c r="K627" s="247" t="s">
        <v>58</v>
      </c>
      <c r="L627" s="264"/>
      <c r="M627" s="265">
        <f>IF(Tableau3453[[#This Row],[Date 
du paiement]]="",$D$4-Tableau3453[[#This Row],[Date
de la facture]],Tableau3453[[#This Row],[Date 
du paiement]]-Tableau3453[[#This Row],[Date
de la facture]])</f>
        <v>13</v>
      </c>
      <c r="N627" s="263" t="str">
        <f>IF(Tableau3453[[#This Row],[Date 
du paiement]]="",IF(Tableau3453[[#This Row],[Jours]]&lt;30,Tableau3453[[#This Row],[Montant
de la facture
CHF]],""),"")</f>
        <v/>
      </c>
      <c r="O627" s="263" t="str">
        <f>IF(Tableau3453[[#This Row],[Date 
du paiement]]="",IF(Tableau3453[[#This Row],[Jours]]&gt;30,IF(Tableau3453[[#This Row],[Jours]]&lt;60,Tableau3453[[#This Row],[Montant
de la facture
CHF]],""),""),"")</f>
        <v/>
      </c>
      <c r="P627" s="263" t="str">
        <f>IF(Tableau3453[[#This Row],[Date 
du paiement]]="",IF(Tableau3453[[#This Row],[Jours]]&gt;60,Tableau3453[[#This Row],[Montant
de la facture
CHF]],""),"")</f>
        <v/>
      </c>
      <c r="Q627" s="266"/>
      <c r="R627" s="267" t="str">
        <f>Tableau3453[[#This Row],[Solde 
ouverte
fm]]</f>
        <v/>
      </c>
      <c r="S62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8" spans="1:19" hidden="1" x14ac:dyDescent="0.25">
      <c r="A628" s="268">
        <v>240832</v>
      </c>
      <c r="B628" s="239">
        <v>30</v>
      </c>
      <c r="C628" s="495" t="str">
        <f>IF(Tableau3453[[#This Row],[Date 
du paiement]]="",IF(Tableau3453[[#This Row],[Jours]]&gt;Tableau3453[[#This Row],[Conditions
pmt+]]+5,"oui",""),"")</f>
        <v/>
      </c>
      <c r="D628" s="467" t="s">
        <v>1674</v>
      </c>
      <c r="E628" s="240">
        <v>45533</v>
      </c>
      <c r="F628" s="468">
        <v>396.5</v>
      </c>
      <c r="G628" s="457" t="str">
        <f>IF(Tableau3453[[#This Row],[Date 
du paiement]]="",Tableau3453[[#This Row],[Montant
de la facture
CHF]],"")</f>
        <v/>
      </c>
      <c r="H628" s="243" t="s">
        <v>1673</v>
      </c>
      <c r="I628" s="245">
        <v>45533</v>
      </c>
      <c r="J628" s="376">
        <v>45608</v>
      </c>
      <c r="K628" s="377" t="s">
        <v>58</v>
      </c>
      <c r="L628" s="469">
        <v>4</v>
      </c>
      <c r="M628" s="265">
        <f>IF(Tableau3453[[#This Row],[Date 
du paiement]]="",$D$4-Tableau3453[[#This Row],[Date
de la facture]],Tableau3453[[#This Row],[Date 
du paiement]]-Tableau3453[[#This Row],[Date
de la facture]])</f>
        <v>75</v>
      </c>
      <c r="N628" s="263" t="str">
        <f>IF(Tableau3453[[#This Row],[Date 
du paiement]]="",IF(Tableau3453[[#This Row],[Jours]]&lt;30,Tableau3453[[#This Row],[Montant
de la facture
CHF]],""),"")</f>
        <v/>
      </c>
      <c r="O628" s="263" t="str">
        <f>IF(Tableau3453[[#This Row],[Date 
du paiement]]="",IF(Tableau3453[[#This Row],[Jours]]&gt;30,IF(Tableau3453[[#This Row],[Jours]]&lt;60,Tableau3453[[#This Row],[Montant
de la facture
CHF]],""),""),"")</f>
        <v/>
      </c>
      <c r="P628" s="263" t="str">
        <f>IF(Tableau3453[[#This Row],[Date 
du paiement]]="",IF(Tableau3453[[#This Row],[Jours]]&gt;60,Tableau3453[[#This Row],[Montant
de la facture
CHF]],""),"")</f>
        <v/>
      </c>
      <c r="Q628" s="266" t="s">
        <v>1785</v>
      </c>
      <c r="R628" s="267" t="str">
        <f>Tableau3453[[#This Row],[Solde 
ouverte
fm]]</f>
        <v/>
      </c>
      <c r="S62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29" spans="1:19" hidden="1" x14ac:dyDescent="0.25">
      <c r="A629" s="380">
        <v>240879</v>
      </c>
      <c r="B629" s="408">
        <v>30</v>
      </c>
      <c r="C629" s="381" t="str">
        <f>IF(Tableau3453[[#This Row],[Date 
du paiement]]="",IF(Tableau3453[[#This Row],[Jours]]&gt;Tableau3453[[#This Row],[Conditions
pmt+]]+5,"oui",""),"")</f>
        <v/>
      </c>
      <c r="D629" s="382" t="s">
        <v>927</v>
      </c>
      <c r="E629" s="383">
        <v>45547</v>
      </c>
      <c r="F629" s="384">
        <v>86.45</v>
      </c>
      <c r="G629" s="410" t="str">
        <f>IF(Tableau3453[[#This Row],[Date 
du paiement]]="",Tableau3453[[#This Row],[Montant
de la facture
CHF]],"")</f>
        <v/>
      </c>
      <c r="H629" s="411"/>
      <c r="I629" s="386">
        <v>45547</v>
      </c>
      <c r="J629" s="387">
        <v>45573</v>
      </c>
      <c r="K629" s="388" t="s">
        <v>58</v>
      </c>
      <c r="L629" s="389"/>
      <c r="M629" s="390">
        <f>IF(Tableau3453[[#This Row],[Date 
du paiement]]="",$D$4-Tableau3453[[#This Row],[Date
de la facture]],Tableau3453[[#This Row],[Date 
du paiement]]-Tableau3453[[#This Row],[Date
de la facture]])</f>
        <v>26</v>
      </c>
      <c r="N629" s="384" t="str">
        <f>IF(Tableau3453[[#This Row],[Date 
du paiement]]="",IF(Tableau3453[[#This Row],[Jours]]&lt;30,Tableau3453[[#This Row],[Montant
de la facture
CHF]],""),"")</f>
        <v/>
      </c>
      <c r="O629" s="384" t="str">
        <f>IF(Tableau3453[[#This Row],[Date 
du paiement]]="",IF(Tableau3453[[#This Row],[Jours]]&gt;30,IF(Tableau3453[[#This Row],[Jours]]&lt;60,Tableau3453[[#This Row],[Montant
de la facture
CHF]],""),""),"")</f>
        <v/>
      </c>
      <c r="P629" s="384" t="str">
        <f>IF(Tableau3453[[#This Row],[Date 
du paiement]]="",IF(Tableau3453[[#This Row],[Jours]]&gt;60,Tableau3453[[#This Row],[Montant
de la facture
CHF]],""),"")</f>
        <v/>
      </c>
      <c r="Q629" s="416"/>
      <c r="R629" s="391" t="str">
        <f>Tableau3453[[#This Row],[Solde 
ouverte
fm]]</f>
        <v/>
      </c>
      <c r="S629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0" spans="1:19" hidden="1" x14ac:dyDescent="0.25">
      <c r="A630" s="268">
        <v>240955</v>
      </c>
      <c r="B630" s="239">
        <v>30</v>
      </c>
      <c r="C630" s="352" t="str">
        <f>IF(Tableau3453[[#This Row],[Date 
du paiement]]="",IF(Tableau3453[[#This Row],[Jours]]&gt;Tableau3453[[#This Row],[Conditions
pmt+]]+5,"oui",""),"")</f>
        <v/>
      </c>
      <c r="D630" s="262" t="s">
        <v>880</v>
      </c>
      <c r="E630" s="240">
        <v>45572</v>
      </c>
      <c r="F630" s="263">
        <v>927.1</v>
      </c>
      <c r="G630" s="396" t="str">
        <f>IF(Tableau3453[[#This Row],[Date 
du paiement]]="",Tableau3453[[#This Row],[Montant
de la facture
CHF]],"")</f>
        <v/>
      </c>
      <c r="H630" s="243"/>
      <c r="I630" s="245">
        <v>45573</v>
      </c>
      <c r="J630" s="246">
        <v>45597</v>
      </c>
      <c r="K630" s="247" t="s">
        <v>58</v>
      </c>
      <c r="L630" s="264"/>
      <c r="M630" s="265">
        <f>IF(Tableau3453[[#This Row],[Date 
du paiement]]="",$D$4-Tableau3453[[#This Row],[Date
de la facture]],Tableau3453[[#This Row],[Date 
du paiement]]-Tableau3453[[#This Row],[Date
de la facture]])</f>
        <v>25</v>
      </c>
      <c r="N630" s="263" t="str">
        <f>IF(Tableau3453[[#This Row],[Date 
du paiement]]="",IF(Tableau3453[[#This Row],[Jours]]&lt;30,Tableau3453[[#This Row],[Montant
de la facture
CHF]],""),"")</f>
        <v/>
      </c>
      <c r="O630" s="263" t="str">
        <f>IF(Tableau3453[[#This Row],[Date 
du paiement]]="",IF(Tableau3453[[#This Row],[Jours]]&gt;30,IF(Tableau3453[[#This Row],[Jours]]&lt;60,Tableau3453[[#This Row],[Montant
de la facture
CHF]],""),""),"")</f>
        <v/>
      </c>
      <c r="P630" s="263" t="str">
        <f>IF(Tableau3453[[#This Row],[Date 
du paiement]]="",IF(Tableau3453[[#This Row],[Jours]]&gt;60,Tableau3453[[#This Row],[Montant
de la facture
CHF]],""),"")</f>
        <v/>
      </c>
      <c r="Q630" s="266"/>
      <c r="R630" s="267" t="str">
        <f>Tableau3453[[#This Row],[Solde 
ouverte
fm]]</f>
        <v/>
      </c>
      <c r="S63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1" spans="1:19" hidden="1" x14ac:dyDescent="0.25">
      <c r="A631" s="268">
        <v>240877</v>
      </c>
      <c r="B631" s="239">
        <v>30</v>
      </c>
      <c r="C631" s="352" t="str">
        <f>IF(Tableau3453[[#This Row],[Date 
du paiement]]="",IF(Tableau3453[[#This Row],[Jours]]&gt;Tableau3453[[#This Row],[Conditions
pmt+]]+5,"oui",""),"")</f>
        <v/>
      </c>
      <c r="D631" s="373" t="s">
        <v>1026</v>
      </c>
      <c r="E631" s="240">
        <v>45558</v>
      </c>
      <c r="F631" s="375">
        <v>4109.3999999999996</v>
      </c>
      <c r="G631" s="242" t="str">
        <f>IF(Tableau3453[[#This Row],[Date 
du paiement]]="",Tableau3453[[#This Row],[Montant
de la facture
CHF]],"")</f>
        <v/>
      </c>
      <c r="H631" s="243"/>
      <c r="I631" s="245">
        <v>45559</v>
      </c>
      <c r="J631" s="246">
        <v>45602</v>
      </c>
      <c r="K631" s="247" t="s">
        <v>58</v>
      </c>
      <c r="L631" s="264">
        <v>1</v>
      </c>
      <c r="M631" s="265">
        <f>IF(Tableau3453[[#This Row],[Date 
du paiement]]="",$D$4-Tableau3453[[#This Row],[Date
de la facture]],Tableau3453[[#This Row],[Date 
du paiement]]-Tableau3453[[#This Row],[Date
de la facture]])</f>
        <v>44</v>
      </c>
      <c r="N631" s="263" t="str">
        <f>IF(Tableau3453[[#This Row],[Date 
du paiement]]="",IF(Tableau3453[[#This Row],[Jours]]&lt;30,Tableau3453[[#This Row],[Montant
de la facture
CHF]],""),"")</f>
        <v/>
      </c>
      <c r="O631" s="263" t="str">
        <f>IF(Tableau3453[[#This Row],[Date 
du paiement]]="",IF(Tableau3453[[#This Row],[Jours]]&gt;30,IF(Tableau3453[[#This Row],[Jours]]&lt;60,Tableau3453[[#This Row],[Montant
de la facture
CHF]],""),""),"")</f>
        <v/>
      </c>
      <c r="P631" s="263" t="str">
        <f>IF(Tableau3453[[#This Row],[Date 
du paiement]]="",IF(Tableau3453[[#This Row],[Jours]]&gt;60,Tableau3453[[#This Row],[Montant
de la facture
CHF]],""),"")</f>
        <v/>
      </c>
      <c r="Q631" s="266"/>
      <c r="R631" s="267" t="str">
        <f>Tableau3453[[#This Row],[Solde 
ouverte
fm]]</f>
        <v/>
      </c>
      <c r="S6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2" spans="1:19" x14ac:dyDescent="0.25">
      <c r="A632" s="473">
        <v>240941</v>
      </c>
      <c r="B632" s="454">
        <v>30</v>
      </c>
      <c r="C632" s="505" t="str">
        <f ca="1">IF(Tableau3453[[#This Row],[Date 
du paiement]]="",IF(Tableau3453[[#This Row],[Jours]]&gt;Tableau3453[[#This Row],[Conditions
pmt+]]+5,"oui",""),"")</f>
        <v>oui</v>
      </c>
      <c r="D632" s="467" t="s">
        <v>869</v>
      </c>
      <c r="E632" s="455">
        <v>45576</v>
      </c>
      <c r="F632" s="468">
        <v>4049.35</v>
      </c>
      <c r="G632" s="501">
        <f>IF(Tableau3453[[#This Row],[Date 
du paiement]]="",Tableau3453[[#This Row],[Montant
de la facture
CHF]],"")</f>
        <v>4049.35</v>
      </c>
      <c r="H632" s="458"/>
      <c r="I632" s="459">
        <v>45580</v>
      </c>
      <c r="J632" s="460"/>
      <c r="K632" s="461"/>
      <c r="L632" s="469">
        <v>1</v>
      </c>
      <c r="M632" s="470">
        <f ca="1">IF(Tableau3453[[#This Row],[Date 
du paiement]]="",$D$4-Tableau3453[[#This Row],[Date
de la facture]],Tableau3453[[#This Row],[Date 
du paiement]]-Tableau3453[[#This Row],[Date
de la facture]])</f>
        <v>41.46942534721893</v>
      </c>
      <c r="N632" s="468" t="str">
        <f ca="1">IF(Tableau3453[[#This Row],[Date 
du paiement]]="",IF(Tableau3453[[#This Row],[Jours]]&lt;30,Tableau3453[[#This Row],[Montant
de la facture
CHF]],""),"")</f>
        <v/>
      </c>
      <c r="O632" s="468">
        <f ca="1">IF(Tableau3453[[#This Row],[Date 
du paiement]]="",IF(Tableau3453[[#This Row],[Jours]]&gt;30,IF(Tableau3453[[#This Row],[Jours]]&lt;60,Tableau3453[[#This Row],[Montant
de la facture
CHF]],""),""),"")</f>
        <v>4049.35</v>
      </c>
      <c r="P632" s="468" t="str">
        <f ca="1">IF(Tableau3453[[#This Row],[Date 
du paiement]]="",IF(Tableau3453[[#This Row],[Jours]]&gt;60,Tableau3453[[#This Row],[Montant
de la facture
CHF]],""),"")</f>
        <v/>
      </c>
      <c r="Q632" s="471"/>
      <c r="R632" s="472">
        <f>Tableau3453[[#This Row],[Solde 
ouverte
fm]]</f>
        <v>4049.35</v>
      </c>
      <c r="S632" s="468">
        <f ca="1">IF(Tableau3453[[#This Row],[Date 
du paiement]]="",IF(Tableau3453[[#This Row],[Jours]]-Tableau3453[[#This Row],[Conditions
pmt+]]&gt;0,Tableau3453[[#This Row],[Montant
de la facture
CHF]],"0.00"),"0.00")</f>
        <v>4049.35</v>
      </c>
    </row>
    <row r="633" spans="1:19" x14ac:dyDescent="0.25">
      <c r="A633" s="473">
        <v>240975</v>
      </c>
      <c r="B633" s="454">
        <v>30</v>
      </c>
      <c r="C633" s="505" t="str">
        <f ca="1">IF(Tableau3453[[#This Row],[Date 
du paiement]]="",IF(Tableau3453[[#This Row],[Jours]]&gt;Tableau3453[[#This Row],[Conditions
pmt+]]+5,"oui",""),"")</f>
        <v/>
      </c>
      <c r="D633" s="467" t="s">
        <v>869</v>
      </c>
      <c r="E633" s="455">
        <v>45600</v>
      </c>
      <c r="F633" s="468">
        <v>1293.55</v>
      </c>
      <c r="G633" s="501">
        <f>IF(Tableau3453[[#This Row],[Date 
du paiement]]="",Tableau3453[[#This Row],[Montant
de la facture
CHF]],"")</f>
        <v>1293.55</v>
      </c>
      <c r="H633" s="458"/>
      <c r="I633" s="459">
        <v>45602</v>
      </c>
      <c r="J633" s="460"/>
      <c r="K633" s="461"/>
      <c r="L633" s="469"/>
      <c r="M633" s="470">
        <f ca="1">IF(Tableau3453[[#This Row],[Date 
du paiement]]="",$D$4-Tableau3453[[#This Row],[Date
de la facture]],Tableau3453[[#This Row],[Date 
du paiement]]-Tableau3453[[#This Row],[Date
de la facture]])</f>
        <v>17.46942534721893</v>
      </c>
      <c r="N633" s="468">
        <f ca="1">IF(Tableau3453[[#This Row],[Date 
du paiement]]="",IF(Tableau3453[[#This Row],[Jours]]&lt;30,Tableau3453[[#This Row],[Montant
de la facture
CHF]],""),"")</f>
        <v>1293.55</v>
      </c>
      <c r="O633" s="468" t="str">
        <f ca="1">IF(Tableau3453[[#This Row],[Date 
du paiement]]="",IF(Tableau3453[[#This Row],[Jours]]&gt;30,IF(Tableau3453[[#This Row],[Jours]]&lt;60,Tableau3453[[#This Row],[Montant
de la facture
CHF]],""),""),"")</f>
        <v/>
      </c>
      <c r="P633" s="468" t="str">
        <f ca="1">IF(Tableau3453[[#This Row],[Date 
du paiement]]="",IF(Tableau3453[[#This Row],[Jours]]&gt;60,Tableau3453[[#This Row],[Montant
de la facture
CHF]],""),"")</f>
        <v/>
      </c>
      <c r="Q633" s="471"/>
      <c r="R633" s="472">
        <f>Tableau3453[[#This Row],[Solde 
ouverte
fm]]</f>
        <v>1293.55</v>
      </c>
      <c r="S633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34" spans="1:19" hidden="1" x14ac:dyDescent="0.25">
      <c r="A634" s="268">
        <v>240862</v>
      </c>
      <c r="B634" s="239">
        <v>30</v>
      </c>
      <c r="C634" s="495" t="str">
        <f>IF(Tableau3453[[#This Row],[Date 
du paiement]]="",IF(Tableau3453[[#This Row],[Jours]]&gt;Tableau3453[[#This Row],[Conditions
pmt+]]+5,"oui",""),"")</f>
        <v/>
      </c>
      <c r="D634" s="467" t="s">
        <v>934</v>
      </c>
      <c r="E634" s="240">
        <v>45567</v>
      </c>
      <c r="F634" s="468">
        <v>6862.65</v>
      </c>
      <c r="G634" s="396" t="str">
        <f>IF(Tableau3453[[#This Row],[Date 
du paiement]]="",Tableau3453[[#This Row],[Montant
de la facture
CHF]],"")</f>
        <v/>
      </c>
      <c r="H634" s="243"/>
      <c r="I634" s="245">
        <v>45568</v>
      </c>
      <c r="J634" s="246">
        <v>45614</v>
      </c>
      <c r="K634" s="247" t="s">
        <v>58</v>
      </c>
      <c r="L634" s="509">
        <v>1</v>
      </c>
      <c r="M634" s="265">
        <f>IF(Tableau3453[[#This Row],[Date 
du paiement]]="",$D$4-Tableau3453[[#This Row],[Date
de la facture]],Tableau3453[[#This Row],[Date 
du paiement]]-Tableau3453[[#This Row],[Date
de la facture]])</f>
        <v>47</v>
      </c>
      <c r="N634" s="263" t="str">
        <f>IF(Tableau3453[[#This Row],[Date 
du paiement]]="",IF(Tableau3453[[#This Row],[Jours]]&lt;30,Tableau3453[[#This Row],[Montant
de la facture
CHF]],""),"")</f>
        <v/>
      </c>
      <c r="O634" s="263" t="str">
        <f>IF(Tableau3453[[#This Row],[Date 
du paiement]]="",IF(Tableau3453[[#This Row],[Jours]]&gt;30,IF(Tableau3453[[#This Row],[Jours]]&lt;60,Tableau3453[[#This Row],[Montant
de la facture
CHF]],""),""),"")</f>
        <v/>
      </c>
      <c r="P634" s="263" t="str">
        <f>IF(Tableau3453[[#This Row],[Date 
du paiement]]="",IF(Tableau3453[[#This Row],[Jours]]&gt;60,Tableau3453[[#This Row],[Montant
de la facture
CHF]],""),"")</f>
        <v/>
      </c>
      <c r="Q634" s="266" t="s">
        <v>1800</v>
      </c>
      <c r="R634" s="267" t="str">
        <f>Tableau3453[[#This Row],[Solde 
ouverte
fm]]</f>
        <v/>
      </c>
      <c r="S63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5" spans="1:19" hidden="1" x14ac:dyDescent="0.25">
      <c r="A635" s="268">
        <v>240927</v>
      </c>
      <c r="B635" s="239">
        <v>30</v>
      </c>
      <c r="C635" s="352" t="str">
        <f>IF(Tableau3453[[#This Row],[Date 
du paiement]]="",IF(Tableau3453[[#This Row],[Jours]]&gt;Tableau3453[[#This Row],[Conditions
pmt+]]+5,"oui",""),"")</f>
        <v/>
      </c>
      <c r="D635" s="262" t="s">
        <v>899</v>
      </c>
      <c r="E635" s="240">
        <v>45566</v>
      </c>
      <c r="F635" s="263">
        <v>1769.3</v>
      </c>
      <c r="G635" s="396" t="str">
        <f>IF(Tableau3453[[#This Row],[Date 
du paiement]]="",Tableau3453[[#This Row],[Montant
de la facture
CHF]],"")</f>
        <v/>
      </c>
      <c r="H635" s="243"/>
      <c r="I635" s="245">
        <v>45568</v>
      </c>
      <c r="J635" s="246">
        <v>45596</v>
      </c>
      <c r="K635" s="247" t="s">
        <v>58</v>
      </c>
      <c r="L635" s="264"/>
      <c r="M635" s="265">
        <f>IF(Tableau3453[[#This Row],[Date 
du paiement]]="",$D$4-Tableau3453[[#This Row],[Date
de la facture]],Tableau3453[[#This Row],[Date 
du paiement]]-Tableau3453[[#This Row],[Date
de la facture]])</f>
        <v>30</v>
      </c>
      <c r="N635" s="263" t="str">
        <f>IF(Tableau3453[[#This Row],[Date 
du paiement]]="",IF(Tableau3453[[#This Row],[Jours]]&lt;30,Tableau3453[[#This Row],[Montant
de la facture
CHF]],""),"")</f>
        <v/>
      </c>
      <c r="O635" s="263" t="str">
        <f>IF(Tableau3453[[#This Row],[Date 
du paiement]]="",IF(Tableau3453[[#This Row],[Jours]]&gt;30,IF(Tableau3453[[#This Row],[Jours]]&lt;60,Tableau3453[[#This Row],[Montant
de la facture
CHF]],""),""),"")</f>
        <v/>
      </c>
      <c r="P635" s="263" t="str">
        <f>IF(Tableau3453[[#This Row],[Date 
du paiement]]="",IF(Tableau3453[[#This Row],[Jours]]&gt;60,Tableau3453[[#This Row],[Montant
de la facture
CHF]],""),"")</f>
        <v/>
      </c>
      <c r="Q635" s="266"/>
      <c r="R635" s="267" t="str">
        <f>Tableau3453[[#This Row],[Solde 
ouverte
fm]]</f>
        <v/>
      </c>
      <c r="S63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6" spans="1:19" hidden="1" x14ac:dyDescent="0.25">
      <c r="A636" s="341">
        <v>240595</v>
      </c>
      <c r="B636" s="408">
        <v>30</v>
      </c>
      <c r="C636" s="381" t="str">
        <f>IF(Tableau3453[[#This Row],[Date 
du paiement]]="",IF(Tableau3453[[#This Row],[Jours]]&gt;Tableau3453[[#This Row],[Conditions
pmt+]]+5,"oui",""),"")</f>
        <v/>
      </c>
      <c r="D636" s="428" t="s">
        <v>941</v>
      </c>
      <c r="E636" s="344">
        <v>45552</v>
      </c>
      <c r="F636" s="429">
        <v>1758.5</v>
      </c>
      <c r="G636" s="410" t="str">
        <f>IF(Tableau3453[[#This Row],[Date 
du paiement]]="",Tableau3453[[#This Row],[Montant
de la facture
CHF]],"")</f>
        <v/>
      </c>
      <c r="H636" s="411"/>
      <c r="I636" s="386">
        <v>45559</v>
      </c>
      <c r="J636" s="346">
        <v>45565</v>
      </c>
      <c r="K636" s="347" t="s">
        <v>58</v>
      </c>
      <c r="L636" s="348"/>
      <c r="M636" s="349">
        <f>IF(Tableau3453[[#This Row],[Date 
du paiement]]="",$D$4-Tableau3453[[#This Row],[Date
de la facture]],Tableau3453[[#This Row],[Date 
du paiement]]-Tableau3453[[#This Row],[Date
de la facture]])</f>
        <v>13</v>
      </c>
      <c r="N636" s="350" t="str">
        <f>IF(Tableau3453[[#This Row],[Date 
du paiement]]="",IF(Tableau3453[[#This Row],[Jours]]&lt;30,Tableau3453[[#This Row],[Montant
de la facture
CHF]],""),"")</f>
        <v/>
      </c>
      <c r="O636" s="345" t="str">
        <f>IF(Tableau3453[[#This Row],[Date 
du paiement]]="",IF(Tableau3453[[#This Row],[Jours]]&gt;30,IF(Tableau3453[[#This Row],[Jours]]&lt;60,Tableau3453[[#This Row],[Montant
de la facture
CHF]],""),""),"")</f>
        <v/>
      </c>
      <c r="P636" s="395" t="str">
        <f>IF(Tableau3453[[#This Row],[Date 
du paiement]]="",IF(Tableau3453[[#This Row],[Jours]]&gt;60,Tableau3453[[#This Row],[Montant
de la facture
CHF]],""),"")</f>
        <v/>
      </c>
      <c r="Q636" s="395"/>
      <c r="R636" s="395" t="str">
        <f>Tableau3453[[#This Row],[Solde 
ouverte
fm]]</f>
        <v/>
      </c>
      <c r="S636" s="399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7" spans="1:19" x14ac:dyDescent="0.25">
      <c r="A637" s="268">
        <v>241023</v>
      </c>
      <c r="B637" s="239">
        <v>30</v>
      </c>
      <c r="C637" s="505" t="str">
        <f ca="1">IF(Tableau3453[[#This Row],[Date 
du paiement]]="",IF(Tableau3453[[#This Row],[Jours]]&gt;Tableau3453[[#This Row],[Conditions
pmt+]]+5,"oui",""),"")</f>
        <v/>
      </c>
      <c r="D637" s="467" t="s">
        <v>869</v>
      </c>
      <c r="E637" s="240">
        <v>45614</v>
      </c>
      <c r="F637" s="468">
        <v>625.95000000000005</v>
      </c>
      <c r="G637" s="396">
        <f>IF(Tableau3453[[#This Row],[Date 
du paiement]]="",Tableau3453[[#This Row],[Montant
de la facture
CHF]],"")</f>
        <v>625.95000000000005</v>
      </c>
      <c r="H637" s="243"/>
      <c r="I637" s="459">
        <v>45616</v>
      </c>
      <c r="J637" s="246"/>
      <c r="K637" s="247"/>
      <c r="L637" s="264"/>
      <c r="M637" s="265">
        <f ca="1">IF(Tableau3453[[#This Row],[Date 
du paiement]]="",$D$4-Tableau3453[[#This Row],[Date
de la facture]],Tableau3453[[#This Row],[Date 
du paiement]]-Tableau3453[[#This Row],[Date
de la facture]])</f>
        <v>3.4694253472189303</v>
      </c>
      <c r="N637" s="263">
        <f ca="1">IF(Tableau3453[[#This Row],[Date 
du paiement]]="",IF(Tableau3453[[#This Row],[Jours]]&lt;30,Tableau3453[[#This Row],[Montant
de la facture
CHF]],""),"")</f>
        <v>625.95000000000005</v>
      </c>
      <c r="O637" s="263" t="str">
        <f ca="1">IF(Tableau3453[[#This Row],[Date 
du paiement]]="",IF(Tableau3453[[#This Row],[Jours]]&gt;30,IF(Tableau3453[[#This Row],[Jours]]&lt;60,Tableau3453[[#This Row],[Montant
de la facture
CHF]],""),""),"")</f>
        <v/>
      </c>
      <c r="P637" s="263" t="str">
        <f ca="1">IF(Tableau3453[[#This Row],[Date 
du paiement]]="",IF(Tableau3453[[#This Row],[Jours]]&gt;60,Tableau3453[[#This Row],[Montant
de la facture
CHF]],""),"")</f>
        <v/>
      </c>
      <c r="Q637" s="266"/>
      <c r="R637" s="267">
        <f>Tableau3453[[#This Row],[Solde 
ouverte
fm]]</f>
        <v>625.95000000000005</v>
      </c>
      <c r="S637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38" spans="1:19" hidden="1" x14ac:dyDescent="0.25">
      <c r="A638" s="380">
        <v>240904</v>
      </c>
      <c r="B638" s="408">
        <v>0</v>
      </c>
      <c r="C638" s="430" t="str">
        <f>IF(Tableau3453[[#This Row],[Date 
du paiement]]="",IF(Tableau3453[[#This Row],[Jours]]&gt;Tableau3453[[#This Row],[Conditions
pmt+]]+5,"oui",""),"")</f>
        <v/>
      </c>
      <c r="D638" s="420" t="s">
        <v>1535</v>
      </c>
      <c r="E638" s="383">
        <v>45555</v>
      </c>
      <c r="F638" s="422">
        <v>477.7</v>
      </c>
      <c r="G638" s="410" t="str">
        <f>IF(Tableau3453[[#This Row],[Date 
du paiement]]="",Tableau3453[[#This Row],[Montant
de la facture
CHF]],"")</f>
        <v/>
      </c>
      <c r="H638" s="411"/>
      <c r="I638" s="386">
        <v>45559</v>
      </c>
      <c r="J638" s="387">
        <v>45580</v>
      </c>
      <c r="K638" s="388" t="s">
        <v>58</v>
      </c>
      <c r="L638" s="389"/>
      <c r="M638" s="390">
        <f>IF(Tableau3453[[#This Row],[Date 
du paiement]]="",$D$4-Tableau3453[[#This Row],[Date
de la facture]],Tableau3453[[#This Row],[Date 
du paiement]]-Tableau3453[[#This Row],[Date
de la facture]])</f>
        <v>25</v>
      </c>
      <c r="N638" s="384" t="str">
        <f>IF(Tableau3453[[#This Row],[Date 
du paiement]]="",IF(Tableau3453[[#This Row],[Jours]]&lt;30,Tableau3453[[#This Row],[Montant
de la facture
CHF]],""),"")</f>
        <v/>
      </c>
      <c r="O638" s="384" t="str">
        <f>IF(Tableau3453[[#This Row],[Date 
du paiement]]="",IF(Tableau3453[[#This Row],[Jours]]&gt;30,IF(Tableau3453[[#This Row],[Jours]]&lt;60,Tableau3453[[#This Row],[Montant
de la facture
CHF]],""),""),"")</f>
        <v/>
      </c>
      <c r="P638" s="384" t="str">
        <f>IF(Tableau3453[[#This Row],[Date 
du paiement]]="",IF(Tableau3453[[#This Row],[Jours]]&gt;60,Tableau3453[[#This Row],[Montant
de la facture
CHF]],""),"")</f>
        <v/>
      </c>
      <c r="Q638" s="416"/>
      <c r="R638" s="391" t="str">
        <f>Tableau3453[[#This Row],[Solde 
ouverte
fm]]</f>
        <v/>
      </c>
      <c r="S638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39" spans="1:19" hidden="1" x14ac:dyDescent="0.25">
      <c r="A639" s="268">
        <v>240913</v>
      </c>
      <c r="B639" s="239">
        <v>30</v>
      </c>
      <c r="C639" s="352" t="str">
        <f>IF(Tableau3453[[#This Row],[Date 
du paiement]]="",IF(Tableau3453[[#This Row],[Jours]]&gt;Tableau3453[[#This Row],[Conditions
pmt+]]+5,"oui",""),"")</f>
        <v/>
      </c>
      <c r="D639" s="262" t="s">
        <v>872</v>
      </c>
      <c r="E639" s="240">
        <v>45568</v>
      </c>
      <c r="F639" s="263">
        <v>11758.95</v>
      </c>
      <c r="G639" s="396" t="str">
        <f>IF(Tableau3453[[#This Row],[Date 
du paiement]]="",Tableau3453[[#This Row],[Montant
de la facture
CHF]],"")</f>
        <v/>
      </c>
      <c r="H639" s="243"/>
      <c r="I639" s="245">
        <v>45573</v>
      </c>
      <c r="J639" s="246">
        <v>45596</v>
      </c>
      <c r="K639" s="247" t="s">
        <v>58</v>
      </c>
      <c r="L639" s="264"/>
      <c r="M639" s="265">
        <f>IF(Tableau3453[[#This Row],[Date 
du paiement]]="",$D$4-Tableau3453[[#This Row],[Date
de la facture]],Tableau3453[[#This Row],[Date 
du paiement]]-Tableau3453[[#This Row],[Date
de la facture]])</f>
        <v>28</v>
      </c>
      <c r="N639" s="263" t="str">
        <f>IF(Tableau3453[[#This Row],[Date 
du paiement]]="",IF(Tableau3453[[#This Row],[Jours]]&lt;30,Tableau3453[[#This Row],[Montant
de la facture
CHF]],""),"")</f>
        <v/>
      </c>
      <c r="O639" s="263" t="str">
        <f>IF(Tableau3453[[#This Row],[Date 
du paiement]]="",IF(Tableau3453[[#This Row],[Jours]]&gt;30,IF(Tableau3453[[#This Row],[Jours]]&lt;60,Tableau3453[[#This Row],[Montant
de la facture
CHF]],""),""),"")</f>
        <v/>
      </c>
      <c r="P639" s="263" t="str">
        <f>IF(Tableau3453[[#This Row],[Date 
du paiement]]="",IF(Tableau3453[[#This Row],[Jours]]&gt;60,Tableau3453[[#This Row],[Montant
de la facture
CHF]],""),"")</f>
        <v/>
      </c>
      <c r="Q639" s="266"/>
      <c r="R639" s="267" t="str">
        <f>Tableau3453[[#This Row],[Solde 
ouverte
fm]]</f>
        <v/>
      </c>
      <c r="S63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0" spans="1:19" hidden="1" x14ac:dyDescent="0.25">
      <c r="A640" s="268">
        <v>240733</v>
      </c>
      <c r="B640" s="239" t="s">
        <v>857</v>
      </c>
      <c r="C640" s="352" t="str">
        <f>IF(Tableau3453[[#This Row],[Date 
du paiement]]="",IF(Tableau3453[[#This Row],[Jours]]&gt;Tableau3453[[#This Row],[Conditions
pmt+]]+5,"oui",""),"")</f>
        <v/>
      </c>
      <c r="D640" s="262" t="s">
        <v>865</v>
      </c>
      <c r="E640" s="240">
        <v>45497</v>
      </c>
      <c r="F640" s="263">
        <v>780.85</v>
      </c>
      <c r="G640" s="242" t="str">
        <f>IF(Tableau3453[[#This Row],[Date 
du paiement]]="",Tableau3453[[#This Row],[Montant
de la facture
CHF]],"")</f>
        <v/>
      </c>
      <c r="H640" s="243"/>
      <c r="I640" s="245">
        <v>45497</v>
      </c>
      <c r="J640" s="246">
        <v>45596</v>
      </c>
      <c r="K640" s="247" t="s">
        <v>58</v>
      </c>
      <c r="L640" s="264">
        <v>5</v>
      </c>
      <c r="M640" s="265">
        <f>IF(Tableau3453[[#This Row],[Date 
du paiement]]="",$D$4-Tableau3453[[#This Row],[Date
de la facture]],Tableau3453[[#This Row],[Date 
du paiement]]-Tableau3453[[#This Row],[Date
de la facture]])</f>
        <v>99</v>
      </c>
      <c r="N640" s="263" t="str">
        <f>IF(Tableau3453[[#This Row],[Date 
du paiement]]="",IF(Tableau3453[[#This Row],[Jours]]&lt;30,Tableau3453[[#This Row],[Montant
de la facture
CHF]],""),"")</f>
        <v/>
      </c>
      <c r="O640" s="263" t="str">
        <f>IF(Tableau3453[[#This Row],[Date 
du paiement]]="",IF(Tableau3453[[#This Row],[Jours]]&gt;30,IF(Tableau3453[[#This Row],[Jours]]&lt;60,Tableau3453[[#This Row],[Montant
de la facture
CHF]],""),""),"")</f>
        <v/>
      </c>
      <c r="P640" s="263" t="str">
        <f>IF(Tableau3453[[#This Row],[Date 
du paiement]]="",IF(Tableau3453[[#This Row],[Jours]]&gt;60,Tableau3453[[#This Row],[Montant
de la facture
CHF]],""),"")</f>
        <v/>
      </c>
      <c r="Q640" s="266" t="s">
        <v>1710</v>
      </c>
      <c r="R640" s="267" t="str">
        <f>Tableau3453[[#This Row],[Solde 
ouverte
fm]]</f>
        <v/>
      </c>
      <c r="S64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1" spans="1:19" hidden="1" x14ac:dyDescent="0.25">
      <c r="A641" s="268">
        <v>240772</v>
      </c>
      <c r="B641" s="239" t="s">
        <v>857</v>
      </c>
      <c r="C641" s="352" t="str">
        <f>IF(Tableau3453[[#This Row],[Date 
du paiement]]="",IF(Tableau3453[[#This Row],[Jours]]&gt;Tableau3453[[#This Row],[Conditions
pmt+]]+5,"oui",""),"")</f>
        <v/>
      </c>
      <c r="D641" s="262" t="s">
        <v>865</v>
      </c>
      <c r="E641" s="240">
        <v>45518</v>
      </c>
      <c r="F641" s="263">
        <v>841.2</v>
      </c>
      <c r="G641" s="242" t="str">
        <f>IF(Tableau3453[[#This Row],[Date 
du paiement]]="",Tableau3453[[#This Row],[Montant
de la facture
CHF]],"")</f>
        <v/>
      </c>
      <c r="H641" s="243"/>
      <c r="I641" s="245">
        <v>45518</v>
      </c>
      <c r="J641" s="246">
        <v>45596</v>
      </c>
      <c r="K641" s="247" t="s">
        <v>58</v>
      </c>
      <c r="L641" s="264">
        <v>2</v>
      </c>
      <c r="M641" s="265">
        <f>IF(Tableau3453[[#This Row],[Date 
du paiement]]="",$D$4-Tableau3453[[#This Row],[Date
de la facture]],Tableau3453[[#This Row],[Date 
du paiement]]-Tableau3453[[#This Row],[Date
de la facture]])</f>
        <v>78</v>
      </c>
      <c r="N641" s="263" t="str">
        <f>IF(Tableau3453[[#This Row],[Date 
du paiement]]="",IF(Tableau3453[[#This Row],[Jours]]&lt;30,Tableau3453[[#This Row],[Montant
de la facture
CHF]],""),"")</f>
        <v/>
      </c>
      <c r="O641" s="263" t="str">
        <f>IF(Tableau3453[[#This Row],[Date 
du paiement]]="",IF(Tableau3453[[#This Row],[Jours]]&gt;30,IF(Tableau3453[[#This Row],[Jours]]&lt;60,Tableau3453[[#This Row],[Montant
de la facture
CHF]],""),""),"")</f>
        <v/>
      </c>
      <c r="P641" s="263" t="str">
        <f>IF(Tableau3453[[#This Row],[Date 
du paiement]]="",IF(Tableau3453[[#This Row],[Jours]]&gt;60,Tableau3453[[#This Row],[Montant
de la facture
CHF]],""),"")</f>
        <v/>
      </c>
      <c r="Q641" s="266"/>
      <c r="R641" s="267" t="str">
        <f>Tableau3453[[#This Row],[Solde 
ouverte
fm]]</f>
        <v/>
      </c>
      <c r="S64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2" spans="1:19" hidden="1" x14ac:dyDescent="0.25">
      <c r="A642" s="380">
        <v>240695</v>
      </c>
      <c r="B642" s="408">
        <v>30</v>
      </c>
      <c r="C642" s="430" t="str">
        <f>IF(Tableau3453[[#This Row],[Date 
du paiement]]="",IF(Tableau3453[[#This Row],[Jours]]&gt;Tableau3453[[#This Row],[Conditions
pmt+]]+5,"oui",""),"")</f>
        <v/>
      </c>
      <c r="D642" s="382" t="s">
        <v>902</v>
      </c>
      <c r="E642" s="383">
        <v>45491</v>
      </c>
      <c r="F642" s="384">
        <v>3727.45</v>
      </c>
      <c r="G642" s="410" t="str">
        <f>IF(Tableau3453[[#This Row],[Date 
du paiement]]="",Tableau3453[[#This Row],[Montant
de la facture
CHF]],"")</f>
        <v/>
      </c>
      <c r="H642" s="411"/>
      <c r="I642" s="386">
        <v>45492</v>
      </c>
      <c r="J642" s="387">
        <v>45553</v>
      </c>
      <c r="K642" s="388" t="s">
        <v>58</v>
      </c>
      <c r="L642" s="389">
        <v>5</v>
      </c>
      <c r="M642" s="390">
        <f>IF(Tableau3453[[#This Row],[Date 
du paiement]]="",$D$4-Tableau3453[[#This Row],[Date
de la facture]],Tableau3453[[#This Row],[Date 
du paiement]]-Tableau3453[[#This Row],[Date
de la facture]])</f>
        <v>62</v>
      </c>
      <c r="N642" s="384" t="str">
        <f>IF(Tableau3453[[#This Row],[Date 
du paiement]]="",IF(Tableau3453[[#This Row],[Jours]]&lt;30,Tableau3453[[#This Row],[Montant
de la facture
CHF]],""),"")</f>
        <v/>
      </c>
      <c r="O642" s="384" t="str">
        <f>IF(Tableau3453[[#This Row],[Date 
du paiement]]="",IF(Tableau3453[[#This Row],[Jours]]&gt;30,IF(Tableau3453[[#This Row],[Jours]]&lt;60,Tableau3453[[#This Row],[Montant
de la facture
CHF]],""),""),"")</f>
        <v/>
      </c>
      <c r="P642" s="384" t="str">
        <f>IF(Tableau3453[[#This Row],[Date 
du paiement]]="",IF(Tableau3453[[#This Row],[Jours]]&gt;60,Tableau3453[[#This Row],[Montant
de la facture
CHF]],""),"")</f>
        <v/>
      </c>
      <c r="Q642" s="414" t="s">
        <v>1597</v>
      </c>
      <c r="R642" s="391" t="str">
        <f>Tableau3453[[#This Row],[Solde 
ouverte
fm]]</f>
        <v/>
      </c>
      <c r="S642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3" spans="1:19" hidden="1" x14ac:dyDescent="0.25">
      <c r="A643" s="268">
        <v>240827</v>
      </c>
      <c r="B643" s="239">
        <v>60</v>
      </c>
      <c r="C643" s="352" t="str">
        <f>IF(Tableau3453[[#This Row],[Date 
du paiement]]="",IF(Tableau3453[[#This Row],[Jours]]&gt;Tableau3453[[#This Row],[Conditions
pmt+]]+5,"oui",""),"")</f>
        <v/>
      </c>
      <c r="D643" s="262" t="s">
        <v>865</v>
      </c>
      <c r="E643" s="240">
        <v>45532</v>
      </c>
      <c r="F643" s="263">
        <v>388.3</v>
      </c>
      <c r="G643" s="242" t="str">
        <f>IF(Tableau3453[[#This Row],[Date 
du paiement]]="",Tableau3453[[#This Row],[Montant
de la facture
CHF]],"")</f>
        <v/>
      </c>
      <c r="H643" s="243"/>
      <c r="I643" s="245">
        <v>45533</v>
      </c>
      <c r="J643" s="246">
        <v>45596</v>
      </c>
      <c r="K643" s="247" t="s">
        <v>58</v>
      </c>
      <c r="L643" s="264"/>
      <c r="M643" s="265">
        <f>IF(Tableau3453[[#This Row],[Date 
du paiement]]="",$D$4-Tableau3453[[#This Row],[Date
de la facture]],Tableau3453[[#This Row],[Date 
du paiement]]-Tableau3453[[#This Row],[Date
de la facture]])</f>
        <v>64</v>
      </c>
      <c r="N643" s="263" t="str">
        <f>IF(Tableau3453[[#This Row],[Date 
du paiement]]="",IF(Tableau3453[[#This Row],[Jours]]&lt;30,Tableau3453[[#This Row],[Montant
de la facture
CHF]],""),"")</f>
        <v/>
      </c>
      <c r="O643" s="263" t="str">
        <f>IF(Tableau3453[[#This Row],[Date 
du paiement]]="",IF(Tableau3453[[#This Row],[Jours]]&gt;30,IF(Tableau3453[[#This Row],[Jours]]&lt;60,Tableau3453[[#This Row],[Montant
de la facture
CHF]],""),""),"")</f>
        <v/>
      </c>
      <c r="P643" s="263" t="str">
        <f>IF(Tableau3453[[#This Row],[Date 
du paiement]]="",IF(Tableau3453[[#This Row],[Jours]]&gt;60,Tableau3453[[#This Row],[Montant
de la facture
CHF]],""),"")</f>
        <v/>
      </c>
      <c r="Q643" s="266"/>
      <c r="R643" s="267" t="str">
        <f>Tableau3453[[#This Row],[Solde 
ouverte
fm]]</f>
        <v/>
      </c>
      <c r="S6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4" spans="1:19" hidden="1" x14ac:dyDescent="0.25">
      <c r="A644" s="473">
        <v>241005</v>
      </c>
      <c r="B644" s="454">
        <v>30</v>
      </c>
      <c r="C644" s="505" t="str">
        <f>IF(Tableau3453[[#This Row],[Date 
du paiement]]="",IF(Tableau3453[[#This Row],[Jours]]&gt;Tableau3453[[#This Row],[Conditions
pmt+]]+5,"oui",""),"")</f>
        <v/>
      </c>
      <c r="D644" s="467" t="s">
        <v>1117</v>
      </c>
      <c r="E644" s="455">
        <v>45588</v>
      </c>
      <c r="F644" s="468">
        <v>3045.2</v>
      </c>
      <c r="G644" s="501" t="str">
        <f>IF(Tableau3453[[#This Row],[Date 
du paiement]]="",Tableau3453[[#This Row],[Montant
de la facture
CHF]],"")</f>
        <v/>
      </c>
      <c r="H644" s="458"/>
      <c r="I644" s="459">
        <v>45589</v>
      </c>
      <c r="J644" s="460">
        <v>45615</v>
      </c>
      <c r="K644" s="461" t="s">
        <v>58</v>
      </c>
      <c r="L644" s="469"/>
      <c r="M644" s="470">
        <f>IF(Tableau3453[[#This Row],[Date 
du paiement]]="",$D$4-Tableau3453[[#This Row],[Date
de la facture]],Tableau3453[[#This Row],[Date 
du paiement]]-Tableau3453[[#This Row],[Date
de la facture]])</f>
        <v>27</v>
      </c>
      <c r="N644" s="468" t="str">
        <f>IF(Tableau3453[[#This Row],[Date 
du paiement]]="",IF(Tableau3453[[#This Row],[Jours]]&lt;30,Tableau3453[[#This Row],[Montant
de la facture
CHF]],""),"")</f>
        <v/>
      </c>
      <c r="O644" s="468" t="str">
        <f>IF(Tableau3453[[#This Row],[Date 
du paiement]]="",IF(Tableau3453[[#This Row],[Jours]]&gt;30,IF(Tableau3453[[#This Row],[Jours]]&lt;60,Tableau3453[[#This Row],[Montant
de la facture
CHF]],""),""),"")</f>
        <v/>
      </c>
      <c r="P644" s="468" t="str">
        <f>IF(Tableau3453[[#This Row],[Date 
du paiement]]="",IF(Tableau3453[[#This Row],[Jours]]&gt;60,Tableau3453[[#This Row],[Montant
de la facture
CHF]],""),"")</f>
        <v/>
      </c>
      <c r="Q644" s="471"/>
      <c r="R644" s="472" t="str">
        <f>Tableau3453[[#This Row],[Solde 
ouverte
fm]]</f>
        <v/>
      </c>
      <c r="S644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5" spans="1:19" x14ac:dyDescent="0.25">
      <c r="A645" s="268">
        <v>240871</v>
      </c>
      <c r="B645" s="239">
        <v>60</v>
      </c>
      <c r="C645" s="505" t="str">
        <f ca="1">IF(Tableau3453[[#This Row],[Date 
du paiement]]="",IF(Tableau3453[[#This Row],[Jours]]&gt;Tableau3453[[#This Row],[Conditions
pmt+]]+5,"oui",""),"")</f>
        <v/>
      </c>
      <c r="D645" s="262" t="s">
        <v>1676</v>
      </c>
      <c r="E645" s="240">
        <v>45586</v>
      </c>
      <c r="F645" s="263">
        <v>2611.25</v>
      </c>
      <c r="G645" s="396">
        <f>IF(Tableau3453[[#This Row],[Date 
du paiement]]="",Tableau3453[[#This Row],[Montant
de la facture
CHF]],"")</f>
        <v>2611.25</v>
      </c>
      <c r="H645" s="243"/>
      <c r="I645" s="459">
        <v>45587</v>
      </c>
      <c r="J645" s="246"/>
      <c r="K645" s="247"/>
      <c r="L645" s="264"/>
      <c r="M645" s="265">
        <f ca="1">IF(Tableau3453[[#This Row],[Date 
du paiement]]="",$D$4-Tableau3453[[#This Row],[Date
de la facture]],Tableau3453[[#This Row],[Date 
du paiement]]-Tableau3453[[#This Row],[Date
de la facture]])</f>
        <v>31.46942534721893</v>
      </c>
      <c r="N645" s="263" t="str">
        <f ca="1">IF(Tableau3453[[#This Row],[Date 
du paiement]]="",IF(Tableau3453[[#This Row],[Jours]]&lt;30,Tableau3453[[#This Row],[Montant
de la facture
CHF]],""),"")</f>
        <v/>
      </c>
      <c r="O645" s="263">
        <f ca="1">IF(Tableau3453[[#This Row],[Date 
du paiement]]="",IF(Tableau3453[[#This Row],[Jours]]&gt;30,IF(Tableau3453[[#This Row],[Jours]]&lt;60,Tableau3453[[#This Row],[Montant
de la facture
CHF]],""),""),"")</f>
        <v>2611.25</v>
      </c>
      <c r="P645" s="263" t="str">
        <f ca="1">IF(Tableau3453[[#This Row],[Date 
du paiement]]="",IF(Tableau3453[[#This Row],[Jours]]&gt;60,Tableau3453[[#This Row],[Montant
de la facture
CHF]],""),"")</f>
        <v/>
      </c>
      <c r="Q645" s="266"/>
      <c r="R645" s="267">
        <f>Tableau3453[[#This Row],[Solde 
ouverte
fm]]</f>
        <v>2611.25</v>
      </c>
      <c r="S64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46" spans="1:19" x14ac:dyDescent="0.25">
      <c r="A646" s="473">
        <v>240918</v>
      </c>
      <c r="B646" s="454">
        <v>30</v>
      </c>
      <c r="C646" s="495" t="str">
        <f ca="1">IF(Tableau3453[[#This Row],[Date 
du paiement]]="",IF(Tableau3453[[#This Row],[Jours]]&gt;Tableau3453[[#This Row],[Conditions
pmt+]]+5,"oui",""),"")</f>
        <v>oui</v>
      </c>
      <c r="D646" s="498" t="s">
        <v>1675</v>
      </c>
      <c r="E646" s="455">
        <v>45560</v>
      </c>
      <c r="F646" s="502">
        <v>372.55</v>
      </c>
      <c r="G646" s="501">
        <f>IF(Tableau3453[[#This Row],[Date 
du paiement]]="",Tableau3453[[#This Row],[Montant
de la facture
CHF]],"")</f>
        <v>372.55</v>
      </c>
      <c r="H646" s="458" t="s">
        <v>1632</v>
      </c>
      <c r="I646" s="459">
        <v>45561</v>
      </c>
      <c r="J646" s="460"/>
      <c r="K646" s="461"/>
      <c r="L646" s="469">
        <v>3</v>
      </c>
      <c r="M646" s="470">
        <f ca="1">IF(Tableau3453[[#This Row],[Date 
du paiement]]="",$D$4-Tableau3453[[#This Row],[Date
de la facture]],Tableau3453[[#This Row],[Date 
du paiement]]-Tableau3453[[#This Row],[Date
de la facture]])</f>
        <v>57.46942534721893</v>
      </c>
      <c r="N646" s="468" t="str">
        <f ca="1">IF(Tableau3453[[#This Row],[Date 
du paiement]]="",IF(Tableau3453[[#This Row],[Jours]]&lt;30,Tableau3453[[#This Row],[Montant
de la facture
CHF]],""),"")</f>
        <v/>
      </c>
      <c r="O646" s="468">
        <f ca="1">IF(Tableau3453[[#This Row],[Date 
du paiement]]="",IF(Tableau3453[[#This Row],[Jours]]&gt;30,IF(Tableau3453[[#This Row],[Jours]]&lt;60,Tableau3453[[#This Row],[Montant
de la facture
CHF]],""),""),"")</f>
        <v>372.55</v>
      </c>
      <c r="P646" s="468" t="str">
        <f ca="1">IF(Tableau3453[[#This Row],[Date 
du paiement]]="",IF(Tableau3453[[#This Row],[Jours]]&gt;60,Tableau3453[[#This Row],[Montant
de la facture
CHF]],""),"")</f>
        <v/>
      </c>
      <c r="Q646" s="471"/>
      <c r="R646" s="472">
        <f>Tableau3453[[#This Row],[Solde 
ouverte
fm]]</f>
        <v>372.55</v>
      </c>
      <c r="S646" s="468">
        <f ca="1">IF(Tableau3453[[#This Row],[Date 
du paiement]]="",IF(Tableau3453[[#This Row],[Jours]]-Tableau3453[[#This Row],[Conditions
pmt+]]&gt;0,Tableau3453[[#This Row],[Montant
de la facture
CHF]],"0.00"),"0.00")</f>
        <v>372.55</v>
      </c>
    </row>
    <row r="647" spans="1:19" hidden="1" x14ac:dyDescent="0.25">
      <c r="A647" s="341">
        <v>240555</v>
      </c>
      <c r="B647" s="408" t="s">
        <v>860</v>
      </c>
      <c r="C647" s="381" t="str">
        <f>IF(Tableau3453[[#This Row],[Date 
du paiement]]="",IF(Tableau3453[[#This Row],[Jours]]&gt;Tableau3453[[#This Row],[Conditions
pmt+]]+5,"oui",""),"")</f>
        <v/>
      </c>
      <c r="D647" s="343" t="s">
        <v>1184</v>
      </c>
      <c r="E647" s="344">
        <v>45468</v>
      </c>
      <c r="F647" s="345">
        <v>32055.45</v>
      </c>
      <c r="G647" s="410" t="str">
        <f>IF(Tableau3453[[#This Row],[Date 
du paiement]]="",Tableau3453[[#This Row],[Montant
de la facture
CHF]],"")</f>
        <v/>
      </c>
      <c r="H647" s="411"/>
      <c r="I647" s="386">
        <v>45470</v>
      </c>
      <c r="J647" s="346">
        <v>45566</v>
      </c>
      <c r="K647" s="347" t="s">
        <v>58</v>
      </c>
      <c r="L647" s="348">
        <v>7</v>
      </c>
      <c r="M647" s="349">
        <f>IF(Tableau3453[[#This Row],[Date 
du paiement]]="",$D$4-Tableau3453[[#This Row],[Date
de la facture]],Tableau3453[[#This Row],[Date 
du paiement]]-Tableau3453[[#This Row],[Date
de la facture]])</f>
        <v>98</v>
      </c>
      <c r="N647" s="345" t="str">
        <f>IF(Tableau3453[[#This Row],[Date 
du paiement]]="",IF(Tableau3453[[#This Row],[Jours]]&lt;30,Tableau3453[[#This Row],[Montant
de la facture
CHF]],""),"")</f>
        <v/>
      </c>
      <c r="O647" s="345" t="str">
        <f>IF(Tableau3453[[#This Row],[Date 
du paiement]]="",IF(Tableau3453[[#This Row],[Jours]]&gt;30,IF(Tableau3453[[#This Row],[Jours]]&lt;60,Tableau3453[[#This Row],[Montant
de la facture
CHF]],""),""),"")</f>
        <v/>
      </c>
      <c r="P647" s="345" t="str">
        <f>IF(Tableau3453[[#This Row],[Date 
du paiement]]="",IF(Tableau3453[[#This Row],[Jours]]&gt;60,Tableau3453[[#This Row],[Montant
de la facture
CHF]],""),"")</f>
        <v/>
      </c>
      <c r="Q647" s="351" t="s">
        <v>1501</v>
      </c>
      <c r="R647" s="350" t="str">
        <f>Tableau3453[[#This Row],[Solde 
ouverte
fm]]</f>
        <v/>
      </c>
      <c r="S647" s="34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48" spans="1:19" x14ac:dyDescent="0.25">
      <c r="A648" s="473" t="s">
        <v>1683</v>
      </c>
      <c r="B648" s="454">
        <v>30</v>
      </c>
      <c r="C648" s="505" t="str">
        <f ca="1">IF(Tableau3453[[#This Row],[Date 
du paiement]]="",IF(Tableau3453[[#This Row],[Jours]]&gt;Tableau3453[[#This Row],[Conditions
pmt+]]+5,"oui",""),"")</f>
        <v>oui</v>
      </c>
      <c r="D648" s="467" t="s">
        <v>1107</v>
      </c>
      <c r="E648" s="455">
        <v>45576</v>
      </c>
      <c r="F648" s="468">
        <f>2302-1779.2</f>
        <v>522.79999999999995</v>
      </c>
      <c r="G648" s="501">
        <f>IF(Tableau3453[[#This Row],[Date 
du paiement]]="",Tableau3453[[#This Row],[Montant
de la facture
CHF]],"")</f>
        <v>522.79999999999995</v>
      </c>
      <c r="H648" s="458" t="s">
        <v>1684</v>
      </c>
      <c r="I648" s="459">
        <v>45580</v>
      </c>
      <c r="J648" s="460"/>
      <c r="K648" s="461"/>
      <c r="L648" s="469">
        <v>1</v>
      </c>
      <c r="M648" s="470">
        <f ca="1">IF(Tableau3453[[#This Row],[Date 
du paiement]]="",$D$4-Tableau3453[[#This Row],[Date
de la facture]],Tableau3453[[#This Row],[Date 
du paiement]]-Tableau3453[[#This Row],[Date
de la facture]])</f>
        <v>41.46942534721893</v>
      </c>
      <c r="N648" s="468" t="str">
        <f ca="1">IF(Tableau3453[[#This Row],[Date 
du paiement]]="",IF(Tableau3453[[#This Row],[Jours]]&lt;30,Tableau3453[[#This Row],[Montant
de la facture
CHF]],""),"")</f>
        <v/>
      </c>
      <c r="O648" s="468">
        <f ca="1">IF(Tableau3453[[#This Row],[Date 
du paiement]]="",IF(Tableau3453[[#This Row],[Jours]]&gt;30,IF(Tableau3453[[#This Row],[Jours]]&lt;60,Tableau3453[[#This Row],[Montant
de la facture
CHF]],""),""),"")</f>
        <v>522.79999999999995</v>
      </c>
      <c r="P648" s="468" t="str">
        <f ca="1">IF(Tableau3453[[#This Row],[Date 
du paiement]]="",IF(Tableau3453[[#This Row],[Jours]]&gt;60,Tableau3453[[#This Row],[Montant
de la facture
CHF]],""),"")</f>
        <v/>
      </c>
      <c r="Q648" s="471"/>
      <c r="R648" s="472">
        <f>Tableau3453[[#This Row],[Solde 
ouverte
fm]]</f>
        <v>522.79999999999995</v>
      </c>
      <c r="S648" s="468">
        <f ca="1">IF(Tableau3453[[#This Row],[Date 
du paiement]]="",IF(Tableau3453[[#This Row],[Jours]]-Tableau3453[[#This Row],[Conditions
pmt+]]&gt;0,Tableau3453[[#This Row],[Montant
de la facture
CHF]],"0.00"),"0.00")</f>
        <v>522.79999999999995</v>
      </c>
    </row>
    <row r="649" spans="1:19" hidden="1" x14ac:dyDescent="0.25">
      <c r="A649" s="380">
        <v>240880</v>
      </c>
      <c r="B649" s="408" t="s">
        <v>1614</v>
      </c>
      <c r="C649" s="430" t="str">
        <f>IF(Tableau3453[[#This Row],[Date 
du paiement]]="",IF(Tableau3453[[#This Row],[Jours]]&gt;Tableau3453[[#This Row],[Conditions
pmt+]]+5,"oui",""),"")</f>
        <v/>
      </c>
      <c r="D649" s="420" t="s">
        <v>1504</v>
      </c>
      <c r="E649" s="383">
        <v>45547</v>
      </c>
      <c r="F649" s="422">
        <v>721.9</v>
      </c>
      <c r="G649" s="410" t="str">
        <f>IF(Tableau3453[[#This Row],[Date 
du paiement]]="",Tableau3453[[#This Row],[Montant
de la facture
CHF]],"")</f>
        <v/>
      </c>
      <c r="H649" s="411"/>
      <c r="I649" s="386">
        <v>45548</v>
      </c>
      <c r="J649" s="387">
        <v>45581</v>
      </c>
      <c r="K649" s="388" t="s">
        <v>58</v>
      </c>
      <c r="L649" s="389">
        <v>2</v>
      </c>
      <c r="M649" s="390">
        <f>IF(Tableau3453[[#This Row],[Date 
du paiement]]="",$D$4-Tableau3453[[#This Row],[Date
de la facture]],Tableau3453[[#This Row],[Date 
du paiement]]-Tableau3453[[#This Row],[Date
de la facture]])</f>
        <v>34</v>
      </c>
      <c r="N649" s="384" t="str">
        <f>IF(Tableau3453[[#This Row],[Date 
du paiement]]="",IF(Tableau3453[[#This Row],[Jours]]&lt;30,Tableau3453[[#This Row],[Montant
de la facture
CHF]],""),"")</f>
        <v/>
      </c>
      <c r="O649" s="384" t="str">
        <f>IF(Tableau3453[[#This Row],[Date 
du paiement]]="",IF(Tableau3453[[#This Row],[Jours]]&gt;30,IF(Tableau3453[[#This Row],[Jours]]&lt;60,Tableau3453[[#This Row],[Montant
de la facture
CHF]],""),""),"")</f>
        <v/>
      </c>
      <c r="P649" s="384" t="str">
        <f>IF(Tableau3453[[#This Row],[Date 
du paiement]]="",IF(Tableau3453[[#This Row],[Jours]]&gt;60,Tableau3453[[#This Row],[Montant
de la facture
CHF]],""),"")</f>
        <v/>
      </c>
      <c r="Q649" s="416"/>
      <c r="R649" s="391" t="str">
        <f>Tableau3453[[#This Row],[Solde 
ouverte
fm]]</f>
        <v/>
      </c>
      <c r="S649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0" spans="1:19" x14ac:dyDescent="0.25">
      <c r="A650" s="268">
        <v>240977</v>
      </c>
      <c r="B650" s="239">
        <v>30</v>
      </c>
      <c r="C650" s="505" t="str">
        <f ca="1">IF(Tableau3453[[#This Row],[Date 
du paiement]]="",IF(Tableau3453[[#This Row],[Jours]]&gt;Tableau3453[[#This Row],[Conditions
pmt+]]+5,"oui",""),"")</f>
        <v/>
      </c>
      <c r="D650" s="262" t="s">
        <v>1107</v>
      </c>
      <c r="E650" s="240">
        <v>45614</v>
      </c>
      <c r="F650" s="263">
        <v>1746.8</v>
      </c>
      <c r="G650" s="396">
        <f>IF(Tableau3453[[#This Row],[Date 
du paiement]]="",Tableau3453[[#This Row],[Montant
de la facture
CHF]],"")</f>
        <v>1746.8</v>
      </c>
      <c r="H650" s="243"/>
      <c r="I650" s="459">
        <v>45616</v>
      </c>
      <c r="J650" s="246"/>
      <c r="K650" s="247"/>
      <c r="L650" s="264"/>
      <c r="M650" s="265">
        <f ca="1">IF(Tableau3453[[#This Row],[Date 
du paiement]]="",$D$4-Tableau3453[[#This Row],[Date
de la facture]],Tableau3453[[#This Row],[Date 
du paiement]]-Tableau3453[[#This Row],[Date
de la facture]])</f>
        <v>3.4694253472189303</v>
      </c>
      <c r="N650" s="263">
        <f ca="1">IF(Tableau3453[[#This Row],[Date 
du paiement]]="",IF(Tableau3453[[#This Row],[Jours]]&lt;30,Tableau3453[[#This Row],[Montant
de la facture
CHF]],""),"")</f>
        <v>1746.8</v>
      </c>
      <c r="O650" s="263" t="str">
        <f ca="1">IF(Tableau3453[[#This Row],[Date 
du paiement]]="",IF(Tableau3453[[#This Row],[Jours]]&gt;30,IF(Tableau3453[[#This Row],[Jours]]&lt;60,Tableau3453[[#This Row],[Montant
de la facture
CHF]],""),""),"")</f>
        <v/>
      </c>
      <c r="P650" s="263" t="str">
        <f ca="1">IF(Tableau3453[[#This Row],[Date 
du paiement]]="",IF(Tableau3453[[#This Row],[Jours]]&gt;60,Tableau3453[[#This Row],[Montant
de la facture
CHF]],""),"")</f>
        <v/>
      </c>
      <c r="Q650" s="266"/>
      <c r="R650" s="267">
        <f>Tableau3453[[#This Row],[Solde 
ouverte
fm]]</f>
        <v>1746.8</v>
      </c>
      <c r="S650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51" spans="1:19" hidden="1" x14ac:dyDescent="0.25">
      <c r="A651" s="380">
        <v>240804</v>
      </c>
      <c r="B651" s="408">
        <v>30</v>
      </c>
      <c r="C651" s="430" t="str">
        <f>IF(Tableau3453[[#This Row],[Date 
du paiement]]="",IF(Tableau3453[[#This Row],[Jours]]&gt;Tableau3453[[#This Row],[Conditions
pmt+]]+5,"oui",""),"")</f>
        <v/>
      </c>
      <c r="D651" s="382" t="s">
        <v>1026</v>
      </c>
      <c r="E651" s="383">
        <v>45527</v>
      </c>
      <c r="F651" s="384">
        <v>3794.15</v>
      </c>
      <c r="G651" s="410" t="str">
        <f>IF(Tableau3453[[#This Row],[Date 
du paiement]]="",Tableau3453[[#This Row],[Montant
de la facture
CHF]],"")</f>
        <v/>
      </c>
      <c r="H651" s="411"/>
      <c r="I651" s="386">
        <v>45530</v>
      </c>
      <c r="J651" s="387">
        <v>45575</v>
      </c>
      <c r="K651" s="388" t="s">
        <v>58</v>
      </c>
      <c r="L651" s="389">
        <v>2</v>
      </c>
      <c r="M651" s="390">
        <f>IF(Tableau3453[[#This Row],[Date 
du paiement]]="",$D$4-Tableau3453[[#This Row],[Date
de la facture]],Tableau3453[[#This Row],[Date 
du paiement]]-Tableau3453[[#This Row],[Date
de la facture]])</f>
        <v>48</v>
      </c>
      <c r="N651" s="384" t="str">
        <f>IF(Tableau3453[[#This Row],[Date 
du paiement]]="",IF(Tableau3453[[#This Row],[Jours]]&lt;30,Tableau3453[[#This Row],[Montant
de la facture
CHF]],""),"")</f>
        <v/>
      </c>
      <c r="O651" s="384" t="str">
        <f>IF(Tableau3453[[#This Row],[Date 
du paiement]]="",IF(Tableau3453[[#This Row],[Jours]]&gt;30,IF(Tableau3453[[#This Row],[Jours]]&lt;60,Tableau3453[[#This Row],[Montant
de la facture
CHF]],""),""),"")</f>
        <v/>
      </c>
      <c r="P651" s="384" t="str">
        <f>IF(Tableau3453[[#This Row],[Date 
du paiement]]="",IF(Tableau3453[[#This Row],[Jours]]&gt;60,Tableau3453[[#This Row],[Montant
de la facture
CHF]],""),"")</f>
        <v/>
      </c>
      <c r="Q651" s="416"/>
      <c r="R651" s="391" t="str">
        <f>Tableau3453[[#This Row],[Solde 
ouverte
fm]]</f>
        <v/>
      </c>
      <c r="S651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2" spans="1:19" x14ac:dyDescent="0.25">
      <c r="A652" s="268">
        <v>241058</v>
      </c>
      <c r="B652" s="239" t="s">
        <v>860</v>
      </c>
      <c r="C652" s="505" t="str">
        <f ca="1">IF(Tableau3453[[#This Row],[Date 
du paiement]]="",IF(Tableau3453[[#This Row],[Jours]]&gt;Tableau3453[[#This Row],[Conditions
pmt+]]+5,"oui",""),"")</f>
        <v/>
      </c>
      <c r="D652" s="262" t="s">
        <v>1117</v>
      </c>
      <c r="E652" s="240">
        <v>45611</v>
      </c>
      <c r="F652" s="263">
        <v>2499.25</v>
      </c>
      <c r="G652" s="396">
        <f>IF(Tableau3453[[#This Row],[Date 
du paiement]]="",Tableau3453[[#This Row],[Montant
de la facture
CHF]],"")</f>
        <v>2499.25</v>
      </c>
      <c r="H652" s="243"/>
      <c r="I652" s="459">
        <v>45611</v>
      </c>
      <c r="J652" s="246"/>
      <c r="K652" s="247"/>
      <c r="L652" s="264"/>
      <c r="M652" s="265">
        <f ca="1">IF(Tableau3453[[#This Row],[Date 
du paiement]]="",$D$4-Tableau3453[[#This Row],[Date
de la facture]],Tableau3453[[#This Row],[Date 
du paiement]]-Tableau3453[[#This Row],[Date
de la facture]])</f>
        <v>6.4694253472189303</v>
      </c>
      <c r="N652" s="263">
        <f ca="1">IF(Tableau3453[[#This Row],[Date 
du paiement]]="",IF(Tableau3453[[#This Row],[Jours]]&lt;30,Tableau3453[[#This Row],[Montant
de la facture
CHF]],""),"")</f>
        <v>2499.25</v>
      </c>
      <c r="O652" s="263" t="str">
        <f ca="1">IF(Tableau3453[[#This Row],[Date 
du paiement]]="",IF(Tableau3453[[#This Row],[Jours]]&gt;30,IF(Tableau3453[[#This Row],[Jours]]&lt;60,Tableau3453[[#This Row],[Montant
de la facture
CHF]],""),""),"")</f>
        <v/>
      </c>
      <c r="P652" s="263" t="str">
        <f ca="1">IF(Tableau3453[[#This Row],[Date 
du paiement]]="",IF(Tableau3453[[#This Row],[Jours]]&gt;60,Tableau3453[[#This Row],[Montant
de la facture
CHF]],""),"")</f>
        <v/>
      </c>
      <c r="Q652" s="266"/>
      <c r="R652" s="267">
        <f>Tableau3453[[#This Row],[Solde 
ouverte
fm]]</f>
        <v>2499.25</v>
      </c>
      <c r="S652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53" spans="1:19" hidden="1" x14ac:dyDescent="0.25">
      <c r="A653" s="380">
        <v>240752</v>
      </c>
      <c r="B653" s="408" t="s">
        <v>860</v>
      </c>
      <c r="C653" s="430" t="str">
        <f>IF(Tableau3453[[#This Row],[Date 
du paiement]]="",IF(Tableau3453[[#This Row],[Jours]]&gt;Tableau3453[[#This Row],[Conditions
pmt+]]+5,"oui",""),"")</f>
        <v/>
      </c>
      <c r="D653" s="382" t="s">
        <v>1026</v>
      </c>
      <c r="E653" s="383">
        <v>45533</v>
      </c>
      <c r="F653" s="384">
        <v>8647.9500000000007</v>
      </c>
      <c r="G653" s="410" t="str">
        <f>IF(Tableau3453[[#This Row],[Date 
du paiement]]="",Tableau3453[[#This Row],[Montant
de la facture
CHF]],"")</f>
        <v/>
      </c>
      <c r="H653" s="411"/>
      <c r="I653" s="386">
        <v>45538</v>
      </c>
      <c r="J653" s="387">
        <v>45575</v>
      </c>
      <c r="K653" s="388" t="s">
        <v>58</v>
      </c>
      <c r="L653" s="389">
        <v>1</v>
      </c>
      <c r="M653" s="390">
        <f>IF(Tableau3453[[#This Row],[Date 
du paiement]]="",$D$4-Tableau3453[[#This Row],[Date
de la facture]],Tableau3453[[#This Row],[Date 
du paiement]]-Tableau3453[[#This Row],[Date
de la facture]])</f>
        <v>42</v>
      </c>
      <c r="N653" s="384" t="str">
        <f>IF(Tableau3453[[#This Row],[Date 
du paiement]]="",IF(Tableau3453[[#This Row],[Jours]]&lt;30,Tableau3453[[#This Row],[Montant
de la facture
CHF]],""),"")</f>
        <v/>
      </c>
      <c r="O653" s="384" t="str">
        <f>IF(Tableau3453[[#This Row],[Date 
du paiement]]="",IF(Tableau3453[[#This Row],[Jours]]&gt;30,IF(Tableau3453[[#This Row],[Jours]]&lt;60,Tableau3453[[#This Row],[Montant
de la facture
CHF]],""),""),"")</f>
        <v/>
      </c>
      <c r="P653" s="384" t="str">
        <f>IF(Tableau3453[[#This Row],[Date 
du paiement]]="",IF(Tableau3453[[#This Row],[Jours]]&gt;60,Tableau3453[[#This Row],[Montant
de la facture
CHF]],""),"")</f>
        <v/>
      </c>
      <c r="Q653" s="416"/>
      <c r="R653" s="391" t="str">
        <f>Tableau3453[[#This Row],[Solde 
ouverte
fm]]</f>
        <v/>
      </c>
      <c r="S653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4" spans="1:19" hidden="1" x14ac:dyDescent="0.25">
      <c r="A654" s="268">
        <v>240878</v>
      </c>
      <c r="B654" s="239">
        <v>30</v>
      </c>
      <c r="C654" s="400" t="str">
        <f>IF(Tableau3453[[#This Row],[Date 
du paiement]]="",IF(Tableau3453[[#This Row],[Jours]]&gt;Tableau3453[[#This Row],[Conditions
pmt+]]+5,"oui",""),"")</f>
        <v/>
      </c>
      <c r="D654" s="373" t="s">
        <v>1026</v>
      </c>
      <c r="E654" s="240">
        <v>45554</v>
      </c>
      <c r="F654" s="375">
        <v>6588.2</v>
      </c>
      <c r="G654" s="242" t="str">
        <f>IF(Tableau3453[[#This Row],[Date 
du paiement]]="",Tableau3453[[#This Row],[Montant
de la facture
CHF]],"")</f>
        <v/>
      </c>
      <c r="H654" s="243"/>
      <c r="I654" s="245">
        <v>45559</v>
      </c>
      <c r="J654" s="246">
        <v>45575</v>
      </c>
      <c r="K654" s="247" t="s">
        <v>58</v>
      </c>
      <c r="L654" s="264"/>
      <c r="M654" s="265">
        <f>IF(Tableau3453[[#This Row],[Date 
du paiement]]="",$D$4-Tableau3453[[#This Row],[Date
de la facture]],Tableau3453[[#This Row],[Date 
du paiement]]-Tableau3453[[#This Row],[Date
de la facture]])</f>
        <v>21</v>
      </c>
      <c r="N654" s="263" t="str">
        <f>IF(Tableau3453[[#This Row],[Date 
du paiement]]="",IF(Tableau3453[[#This Row],[Jours]]&lt;30,Tableau3453[[#This Row],[Montant
de la facture
CHF]],""),"")</f>
        <v/>
      </c>
      <c r="O654" s="263" t="str">
        <f>IF(Tableau3453[[#This Row],[Date 
du paiement]]="",IF(Tableau3453[[#This Row],[Jours]]&gt;30,IF(Tableau3453[[#This Row],[Jours]]&lt;60,Tableau3453[[#This Row],[Montant
de la facture
CHF]],""),""),"")</f>
        <v/>
      </c>
      <c r="P654" s="263" t="str">
        <f>IF(Tableau3453[[#This Row],[Date 
du paiement]]="",IF(Tableau3453[[#This Row],[Jours]]&gt;60,Tableau3453[[#This Row],[Montant
de la facture
CHF]],""),"")</f>
        <v/>
      </c>
      <c r="Q654" s="266"/>
      <c r="R654" s="267" t="str">
        <f>Tableau3453[[#This Row],[Solde 
ouverte
fm]]</f>
        <v/>
      </c>
      <c r="S6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5" spans="1:19" hidden="1" x14ac:dyDescent="0.25">
      <c r="A655" s="268">
        <v>240791</v>
      </c>
      <c r="B655" s="239" t="s">
        <v>857</v>
      </c>
      <c r="C655" s="352" t="str">
        <f>IF(Tableau3453[[#This Row],[Date 
du paiement]]="",IF(Tableau3453[[#This Row],[Jours]]&gt;Tableau3453[[#This Row],[Conditions
pmt+]]+5,"oui",""),"")</f>
        <v/>
      </c>
      <c r="D655" s="262" t="s">
        <v>1002</v>
      </c>
      <c r="E655" s="240">
        <v>45524</v>
      </c>
      <c r="F655" s="263">
        <v>4961.8</v>
      </c>
      <c r="G655" s="242" t="str">
        <f>IF(Tableau3453[[#This Row],[Date 
du paiement]]="",Tableau3453[[#This Row],[Montant
de la facture
CHF]],"")</f>
        <v/>
      </c>
      <c r="H655" s="243"/>
      <c r="I655" s="245">
        <v>45525</v>
      </c>
      <c r="J655" s="246">
        <v>45596</v>
      </c>
      <c r="K655" s="247" t="s">
        <v>58</v>
      </c>
      <c r="L655" s="264">
        <v>1</v>
      </c>
      <c r="M655" s="265">
        <f>IF(Tableau3453[[#This Row],[Date 
du paiement]]="",$D$4-Tableau3453[[#This Row],[Date
de la facture]],Tableau3453[[#This Row],[Date 
du paiement]]-Tableau3453[[#This Row],[Date
de la facture]])</f>
        <v>72</v>
      </c>
      <c r="N655" s="263" t="str">
        <f>IF(Tableau3453[[#This Row],[Date 
du paiement]]="",IF(Tableau3453[[#This Row],[Jours]]&lt;30,Tableau3453[[#This Row],[Montant
de la facture
CHF]],""),"")</f>
        <v/>
      </c>
      <c r="O655" s="263" t="str">
        <f>IF(Tableau3453[[#This Row],[Date 
du paiement]]="",IF(Tableau3453[[#This Row],[Jours]]&gt;30,IF(Tableau3453[[#This Row],[Jours]]&lt;60,Tableau3453[[#This Row],[Montant
de la facture
CHF]],""),""),"")</f>
        <v/>
      </c>
      <c r="P655" s="263" t="str">
        <f>IF(Tableau3453[[#This Row],[Date 
du paiement]]="",IF(Tableau3453[[#This Row],[Jours]]&gt;60,Tableau3453[[#This Row],[Montant
de la facture
CHF]],""),"")</f>
        <v/>
      </c>
      <c r="Q655" s="266"/>
      <c r="R655" s="267" t="str">
        <f>Tableau3453[[#This Row],[Solde 
ouverte
fm]]</f>
        <v/>
      </c>
      <c r="S65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6" spans="1:19" hidden="1" x14ac:dyDescent="0.25">
      <c r="A656" s="268">
        <v>240803</v>
      </c>
      <c r="B656" s="239" t="s">
        <v>857</v>
      </c>
      <c r="C656" s="352" t="str">
        <f>IF(Tableau3453[[#This Row],[Date 
du paiement]]="",IF(Tableau3453[[#This Row],[Jours]]&gt;Tableau3453[[#This Row],[Conditions
pmt+]]+5,"oui",""),"")</f>
        <v/>
      </c>
      <c r="D656" s="262" t="s">
        <v>1002</v>
      </c>
      <c r="E656" s="240">
        <v>45525</v>
      </c>
      <c r="F656" s="263">
        <v>6061.65</v>
      </c>
      <c r="G656" s="242" t="str">
        <f>IF(Tableau3453[[#This Row],[Date 
du paiement]]="",Tableau3453[[#This Row],[Montant
de la facture
CHF]],"")</f>
        <v/>
      </c>
      <c r="H656" s="243"/>
      <c r="I656" s="245">
        <v>45526</v>
      </c>
      <c r="J656" s="246">
        <v>45596</v>
      </c>
      <c r="K656" s="247" t="s">
        <v>58</v>
      </c>
      <c r="L656" s="264">
        <v>1</v>
      </c>
      <c r="M656" s="265">
        <f>IF(Tableau3453[[#This Row],[Date 
du paiement]]="",$D$4-Tableau3453[[#This Row],[Date
de la facture]],Tableau3453[[#This Row],[Date 
du paiement]]-Tableau3453[[#This Row],[Date
de la facture]])</f>
        <v>71</v>
      </c>
      <c r="N656" s="263" t="str">
        <f>IF(Tableau3453[[#This Row],[Date 
du paiement]]="",IF(Tableau3453[[#This Row],[Jours]]&lt;30,Tableau3453[[#This Row],[Montant
de la facture
CHF]],""),"")</f>
        <v/>
      </c>
      <c r="O656" s="263" t="str">
        <f>IF(Tableau3453[[#This Row],[Date 
du paiement]]="",IF(Tableau3453[[#This Row],[Jours]]&gt;30,IF(Tableau3453[[#This Row],[Jours]]&lt;60,Tableau3453[[#This Row],[Montant
de la facture
CHF]],""),""),"")</f>
        <v/>
      </c>
      <c r="P656" s="263" t="str">
        <f>IF(Tableau3453[[#This Row],[Date 
du paiement]]="",IF(Tableau3453[[#This Row],[Jours]]&gt;60,Tableau3453[[#This Row],[Montant
de la facture
CHF]],""),"")</f>
        <v/>
      </c>
      <c r="Q656" s="266"/>
      <c r="R656" s="267" t="str">
        <f>Tableau3453[[#This Row],[Solde 
ouverte
fm]]</f>
        <v/>
      </c>
      <c r="S65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7" spans="1:19" hidden="1" x14ac:dyDescent="0.25">
      <c r="A657" s="380">
        <v>240844</v>
      </c>
      <c r="B657" s="408">
        <v>30</v>
      </c>
      <c r="C657" s="430" t="str">
        <f>IF(Tableau3453[[#This Row],[Date 
du paiement]]="",IF(Tableau3453[[#This Row],[Jours]]&gt;Tableau3453[[#This Row],[Conditions
pmt+]]+5,"oui",""),"")</f>
        <v/>
      </c>
      <c r="D657" s="382" t="s">
        <v>919</v>
      </c>
      <c r="E657" s="383">
        <v>45539</v>
      </c>
      <c r="F657" s="384">
        <v>1897.65</v>
      </c>
      <c r="G657" s="410" t="str">
        <f>IF(Tableau3453[[#This Row],[Date 
du paiement]]="",Tableau3453[[#This Row],[Montant
de la facture
CHF]],"")</f>
        <v/>
      </c>
      <c r="H657" s="411"/>
      <c r="I657" s="386">
        <v>45540</v>
      </c>
      <c r="J657" s="387">
        <v>45576</v>
      </c>
      <c r="K657" s="388" t="s">
        <v>58</v>
      </c>
      <c r="L657" s="389"/>
      <c r="M657" s="390">
        <f>IF(Tableau3453[[#This Row],[Date 
du paiement]]="",$D$4-Tableau3453[[#This Row],[Date
de la facture]],Tableau3453[[#This Row],[Date 
du paiement]]-Tableau3453[[#This Row],[Date
de la facture]])</f>
        <v>37</v>
      </c>
      <c r="N657" s="384" t="str">
        <f>IF(Tableau3453[[#This Row],[Date 
du paiement]]="",IF(Tableau3453[[#This Row],[Jours]]&lt;30,Tableau3453[[#This Row],[Montant
de la facture
CHF]],""),"")</f>
        <v/>
      </c>
      <c r="O657" s="384" t="str">
        <f>IF(Tableau3453[[#This Row],[Date 
du paiement]]="",IF(Tableau3453[[#This Row],[Jours]]&gt;30,IF(Tableau3453[[#This Row],[Jours]]&lt;60,Tableau3453[[#This Row],[Montant
de la facture
CHF]],""),""),"")</f>
        <v/>
      </c>
      <c r="P657" s="384" t="str">
        <f>IF(Tableau3453[[#This Row],[Date 
du paiement]]="",IF(Tableau3453[[#This Row],[Jours]]&gt;60,Tableau3453[[#This Row],[Montant
de la facture
CHF]],""),"")</f>
        <v/>
      </c>
      <c r="Q657" s="416"/>
      <c r="R657" s="391" t="str">
        <f>Tableau3453[[#This Row],[Solde 
ouverte
fm]]</f>
        <v/>
      </c>
      <c r="S657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8" spans="1:19" hidden="1" x14ac:dyDescent="0.25">
      <c r="A658" s="268">
        <v>240815</v>
      </c>
      <c r="B658" s="239" t="s">
        <v>857</v>
      </c>
      <c r="C658" s="352" t="str">
        <f>IF(Tableau3453[[#This Row],[Date 
du paiement]]="",IF(Tableau3453[[#This Row],[Jours]]&gt;Tableau3453[[#This Row],[Conditions
pmt+]]+5,"oui",""),"")</f>
        <v/>
      </c>
      <c r="D658" s="262" t="s">
        <v>1002</v>
      </c>
      <c r="E658" s="240">
        <v>45530</v>
      </c>
      <c r="F658" s="263">
        <v>852.5</v>
      </c>
      <c r="G658" s="242" t="str">
        <f>IF(Tableau3453[[#This Row],[Date 
du paiement]]="",Tableau3453[[#This Row],[Montant
de la facture
CHF]],"")</f>
        <v/>
      </c>
      <c r="H658" s="243"/>
      <c r="I658" s="245">
        <v>45531</v>
      </c>
      <c r="J658" s="246">
        <v>45596</v>
      </c>
      <c r="K658" s="247" t="s">
        <v>58</v>
      </c>
      <c r="L658" s="264"/>
      <c r="M658" s="265">
        <f>IF(Tableau3453[[#This Row],[Date 
du paiement]]="",$D$4-Tableau3453[[#This Row],[Date
de la facture]],Tableau3453[[#This Row],[Date 
du paiement]]-Tableau3453[[#This Row],[Date
de la facture]])</f>
        <v>66</v>
      </c>
      <c r="N658" s="263" t="str">
        <f>IF(Tableau3453[[#This Row],[Date 
du paiement]]="",IF(Tableau3453[[#This Row],[Jours]]&lt;30,Tableau3453[[#This Row],[Montant
de la facture
CHF]],""),"")</f>
        <v/>
      </c>
      <c r="O658" s="263" t="str">
        <f>IF(Tableau3453[[#This Row],[Date 
du paiement]]="",IF(Tableau3453[[#This Row],[Jours]]&gt;30,IF(Tableau3453[[#This Row],[Jours]]&lt;60,Tableau3453[[#This Row],[Montant
de la facture
CHF]],""),""),"")</f>
        <v/>
      </c>
      <c r="P658" s="263" t="str">
        <f>IF(Tableau3453[[#This Row],[Date 
du paiement]]="",IF(Tableau3453[[#This Row],[Jours]]&gt;60,Tableau3453[[#This Row],[Montant
de la facture
CHF]],""),"")</f>
        <v/>
      </c>
      <c r="Q658" s="266"/>
      <c r="R658" s="267" t="str">
        <f>Tableau3453[[#This Row],[Solde 
ouverte
fm]]</f>
        <v/>
      </c>
      <c r="S65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59" spans="1:19" hidden="1" x14ac:dyDescent="0.25">
      <c r="A659" s="268">
        <v>240839</v>
      </c>
      <c r="B659" s="239">
        <v>30</v>
      </c>
      <c r="C659" s="352" t="str">
        <f>IF(Tableau3453[[#This Row],[Date 
du paiement]]="",IF(Tableau3453[[#This Row],[Jours]]&gt;Tableau3453[[#This Row],[Conditions
pmt+]]+5,"oui",""),"")</f>
        <v/>
      </c>
      <c r="D659" s="373" t="s">
        <v>902</v>
      </c>
      <c r="E659" s="240">
        <v>45553</v>
      </c>
      <c r="F659" s="375">
        <v>2350.1</v>
      </c>
      <c r="G659" s="242" t="str">
        <f>IF(Tableau3453[[#This Row],[Date 
du paiement]]="",Tableau3453[[#This Row],[Montant
de la facture
CHF]],"")</f>
        <v/>
      </c>
      <c r="H659" s="243"/>
      <c r="I659" s="245">
        <v>45559</v>
      </c>
      <c r="J659" s="246">
        <v>45583</v>
      </c>
      <c r="K659" s="247" t="s">
        <v>58</v>
      </c>
      <c r="L659" s="264"/>
      <c r="M659" s="265">
        <f>IF(Tableau3453[[#This Row],[Date 
du paiement]]="",$D$4-Tableau3453[[#This Row],[Date
de la facture]],Tableau3453[[#This Row],[Date 
du paiement]]-Tableau3453[[#This Row],[Date
de la facture]])</f>
        <v>30</v>
      </c>
      <c r="N659" s="263" t="str">
        <f>IF(Tableau3453[[#This Row],[Date 
du paiement]]="",IF(Tableau3453[[#This Row],[Jours]]&lt;30,Tableau3453[[#This Row],[Montant
de la facture
CHF]],""),"")</f>
        <v/>
      </c>
      <c r="O659" s="263" t="str">
        <f>IF(Tableau3453[[#This Row],[Date 
du paiement]]="",IF(Tableau3453[[#This Row],[Jours]]&gt;30,IF(Tableau3453[[#This Row],[Jours]]&lt;60,Tableau3453[[#This Row],[Montant
de la facture
CHF]],""),""),"")</f>
        <v/>
      </c>
      <c r="P659" s="263" t="str">
        <f>IF(Tableau3453[[#This Row],[Date 
du paiement]]="",IF(Tableau3453[[#This Row],[Jours]]&gt;60,Tableau3453[[#This Row],[Montant
de la facture
CHF]],""),"")</f>
        <v/>
      </c>
      <c r="Q659" s="266"/>
      <c r="R659" s="267" t="str">
        <f>Tableau3453[[#This Row],[Solde 
ouverte
fm]]</f>
        <v/>
      </c>
      <c r="S65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0" spans="1:19" hidden="1" x14ac:dyDescent="0.25">
      <c r="A660" s="380">
        <v>240861</v>
      </c>
      <c r="B660" s="408">
        <v>30</v>
      </c>
      <c r="C660" s="381" t="str">
        <f>IF(Tableau3453[[#This Row],[Date 
du paiement]]="",IF(Tableau3453[[#This Row],[Jours]]&gt;Tableau3453[[#This Row],[Conditions
pmt+]]+5,"oui",""),"")</f>
        <v/>
      </c>
      <c r="D660" s="420" t="s">
        <v>885</v>
      </c>
      <c r="E660" s="383">
        <v>45552</v>
      </c>
      <c r="F660" s="422">
        <v>4279.75</v>
      </c>
      <c r="G660" s="410" t="str">
        <f>IF(Tableau3453[[#This Row],[Date 
du paiement]]="",Tableau3453[[#This Row],[Montant
de la facture
CHF]],"")</f>
        <v/>
      </c>
      <c r="H660" s="411"/>
      <c r="I660" s="386">
        <v>45559</v>
      </c>
      <c r="J660" s="387">
        <v>45566</v>
      </c>
      <c r="K660" s="388" t="s">
        <v>58</v>
      </c>
      <c r="L660" s="389"/>
      <c r="M660" s="390">
        <f>IF(Tableau3453[[#This Row],[Date 
du paiement]]="",$D$4-Tableau3453[[#This Row],[Date
de la facture]],Tableau3453[[#This Row],[Date 
du paiement]]-Tableau3453[[#This Row],[Date
de la facture]])</f>
        <v>14</v>
      </c>
      <c r="N660" s="384">
        <v>4065.75</v>
      </c>
      <c r="O660" s="384" t="str">
        <f>IF(Tableau3453[[#This Row],[Date 
du paiement]]="",IF(Tableau3453[[#This Row],[Jours]]&gt;30,IF(Tableau3453[[#This Row],[Jours]]&lt;60,Tableau3453[[#This Row],[Montant
de la facture
CHF]],""),""),"")</f>
        <v/>
      </c>
      <c r="P660" s="384" t="str">
        <f>IF(Tableau3453[[#This Row],[Date 
du paiement]]="",IF(Tableau3453[[#This Row],[Jours]]&gt;60,Tableau3453[[#This Row],[Montant
de la facture
CHF]],""),"")</f>
        <v/>
      </c>
      <c r="Q660" s="416"/>
      <c r="R660" s="391" t="str">
        <f>Tableau3453[[#This Row],[Solde 
ouverte
fm]]</f>
        <v/>
      </c>
      <c r="S660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1" spans="1:19" hidden="1" x14ac:dyDescent="0.25">
      <c r="A661" s="268">
        <v>240864</v>
      </c>
      <c r="B661" s="239">
        <v>30</v>
      </c>
      <c r="C661" s="352" t="str">
        <f>IF(Tableau3453[[#This Row],[Date 
du paiement]]="",IF(Tableau3453[[#This Row],[Jours]]&gt;Tableau3453[[#This Row],[Conditions
pmt+]]+5,"oui",""),"")</f>
        <v/>
      </c>
      <c r="D661" s="373" t="s">
        <v>902</v>
      </c>
      <c r="E661" s="240">
        <v>45553</v>
      </c>
      <c r="F661" s="375">
        <v>1796.55</v>
      </c>
      <c r="G661" s="242" t="str">
        <f>IF(Tableau3453[[#This Row],[Date 
du paiement]]="",Tableau3453[[#This Row],[Montant
de la facture
CHF]],"")</f>
        <v/>
      </c>
      <c r="H661" s="243"/>
      <c r="I661" s="245">
        <v>45559</v>
      </c>
      <c r="J661" s="246">
        <v>45583</v>
      </c>
      <c r="K661" s="247" t="s">
        <v>58</v>
      </c>
      <c r="L661" s="264"/>
      <c r="M661" s="265">
        <f>IF(Tableau3453[[#This Row],[Date 
du paiement]]="",$D$4-Tableau3453[[#This Row],[Date
de la facture]],Tableau3453[[#This Row],[Date 
du paiement]]-Tableau3453[[#This Row],[Date
de la facture]])</f>
        <v>30</v>
      </c>
      <c r="N661" s="263" t="str">
        <f>IF(Tableau3453[[#This Row],[Date 
du paiement]]="",IF(Tableau3453[[#This Row],[Jours]]&lt;30,Tableau3453[[#This Row],[Montant
de la facture
CHF]],""),"")</f>
        <v/>
      </c>
      <c r="O661" s="263" t="str">
        <f>IF(Tableau3453[[#This Row],[Date 
du paiement]]="",IF(Tableau3453[[#This Row],[Jours]]&gt;30,IF(Tableau3453[[#This Row],[Jours]]&lt;60,Tableau3453[[#This Row],[Montant
de la facture
CHF]],""),""),"")</f>
        <v/>
      </c>
      <c r="P661" s="263" t="str">
        <f>IF(Tableau3453[[#This Row],[Date 
du paiement]]="",IF(Tableau3453[[#This Row],[Jours]]&gt;60,Tableau3453[[#This Row],[Montant
de la facture
CHF]],""),"")</f>
        <v/>
      </c>
      <c r="Q661" s="266"/>
      <c r="R661" s="267" t="str">
        <f>Tableau3453[[#This Row],[Solde 
ouverte
fm]]</f>
        <v/>
      </c>
      <c r="S66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2" spans="1:19" hidden="1" x14ac:dyDescent="0.25">
      <c r="A662" s="380">
        <v>240680</v>
      </c>
      <c r="B662" s="408">
        <v>30</v>
      </c>
      <c r="C662" s="430" t="str">
        <f>IF(Tableau3453[[#This Row],[Date 
du paiement]]="",IF(Tableau3453[[#This Row],[Jours]]&gt;Tableau3453[[#This Row],[Conditions
pmt+]]+5,"oui",""),"")</f>
        <v/>
      </c>
      <c r="D662" s="382" t="s">
        <v>1184</v>
      </c>
      <c r="E662" s="383">
        <v>45483</v>
      </c>
      <c r="F662" s="384">
        <v>1713</v>
      </c>
      <c r="G662" s="410" t="str">
        <f>IF(Tableau3453[[#This Row],[Date 
du paiement]]="",Tableau3453[[#This Row],[Montant
de la facture
CHF]],"")</f>
        <v/>
      </c>
      <c r="H662" s="411"/>
      <c r="I662" s="386">
        <v>45484</v>
      </c>
      <c r="J662" s="346">
        <v>45576</v>
      </c>
      <c r="K662" s="347" t="s">
        <v>58</v>
      </c>
      <c r="L662" s="389">
        <v>6</v>
      </c>
      <c r="M662" s="390">
        <f>IF(Tableau3453[[#This Row],[Date 
du paiement]]="",$D$4-Tableau3453[[#This Row],[Date
de la facture]],Tableau3453[[#This Row],[Date 
du paiement]]-Tableau3453[[#This Row],[Date
de la facture]])</f>
        <v>93</v>
      </c>
      <c r="N662" s="384" t="str">
        <f>IF(Tableau3453[[#This Row],[Date 
du paiement]]="",IF(Tableau3453[[#This Row],[Jours]]&lt;30,Tableau3453[[#This Row],[Montant
de la facture
CHF]],""),"")</f>
        <v/>
      </c>
      <c r="O662" s="384" t="str">
        <f>IF(Tableau3453[[#This Row],[Date 
du paiement]]="",IF(Tableau3453[[#This Row],[Jours]]&gt;30,IF(Tableau3453[[#This Row],[Jours]]&lt;60,Tableau3453[[#This Row],[Montant
de la facture
CHF]],""),""),"")</f>
        <v/>
      </c>
      <c r="P662" s="384" t="str">
        <f>IF(Tableau3453[[#This Row],[Date 
du paiement]]="",IF(Tableau3453[[#This Row],[Jours]]&gt;60,Tableau3453[[#This Row],[Montant
de la facture
CHF]],""),"")</f>
        <v/>
      </c>
      <c r="Q662" s="416" t="s">
        <v>1613</v>
      </c>
      <c r="R662" s="391" t="str">
        <f>Tableau3453[[#This Row],[Solde 
ouverte
fm]]</f>
        <v/>
      </c>
      <c r="S662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3" spans="1:19" hidden="1" x14ac:dyDescent="0.25">
      <c r="A663" s="268">
        <v>240732</v>
      </c>
      <c r="B663" s="239">
        <v>30</v>
      </c>
      <c r="C663" s="400" t="str">
        <f>IF(Tableau3453[[#This Row],[Date 
du paiement]]="",IF(Tableau3453[[#This Row],[Jours]]&gt;Tableau3453[[#This Row],[Conditions
pmt+]]+5,"oui",""),"")</f>
        <v/>
      </c>
      <c r="D663" s="262" t="s">
        <v>1184</v>
      </c>
      <c r="E663" s="240">
        <v>45497</v>
      </c>
      <c r="F663" s="263">
        <v>361.95</v>
      </c>
      <c r="G663" s="242" t="str">
        <f>IF(Tableau3453[[#This Row],[Date 
du paiement]]="",Tableau3453[[#This Row],[Montant
de la facture
CHF]],"")</f>
        <v/>
      </c>
      <c r="H663" s="243"/>
      <c r="I663" s="245">
        <v>45498</v>
      </c>
      <c r="J663" s="329">
        <v>45576</v>
      </c>
      <c r="K663" s="330" t="s">
        <v>58</v>
      </c>
      <c r="L663" s="264">
        <v>4</v>
      </c>
      <c r="M663" s="265">
        <f>IF(Tableau3453[[#This Row],[Date 
du paiement]]="",$D$4-Tableau3453[[#This Row],[Date
de la facture]],Tableau3453[[#This Row],[Date 
du paiement]]-Tableau3453[[#This Row],[Date
de la facture]])</f>
        <v>79</v>
      </c>
      <c r="N663" s="263" t="str">
        <f>IF(Tableau3453[[#This Row],[Date 
du paiement]]="",IF(Tableau3453[[#This Row],[Jours]]&lt;30,Tableau3453[[#This Row],[Montant
de la facture
CHF]],""),"")</f>
        <v/>
      </c>
      <c r="O663" s="263" t="str">
        <f>IF(Tableau3453[[#This Row],[Date 
du paiement]]="",IF(Tableau3453[[#This Row],[Jours]]&gt;30,IF(Tableau3453[[#This Row],[Jours]]&lt;60,Tableau3453[[#This Row],[Montant
de la facture
CHF]],""),""),"")</f>
        <v/>
      </c>
      <c r="P663" s="263" t="str">
        <f>IF(Tableau3453[[#This Row],[Date 
du paiement]]="",IF(Tableau3453[[#This Row],[Jours]]&gt;60,Tableau3453[[#This Row],[Montant
de la facture
CHF]],""),"")</f>
        <v/>
      </c>
      <c r="Q663" s="266" t="s">
        <v>1613</v>
      </c>
      <c r="R663" s="267" t="str">
        <f>Tableau3453[[#This Row],[Solde 
ouverte
fm]]</f>
        <v/>
      </c>
      <c r="S66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4" spans="1:19" hidden="1" x14ac:dyDescent="0.25">
      <c r="A664" s="268">
        <v>240751</v>
      </c>
      <c r="B664" s="239">
        <v>30</v>
      </c>
      <c r="C664" s="400" t="str">
        <f>IF(Tableau3453[[#This Row],[Date 
du paiement]]="",IF(Tableau3453[[#This Row],[Jours]]&gt;Tableau3453[[#This Row],[Conditions
pmt+]]+5,"oui",""),"")</f>
        <v/>
      </c>
      <c r="D664" s="262" t="s">
        <v>1184</v>
      </c>
      <c r="E664" s="240">
        <v>45504</v>
      </c>
      <c r="F664" s="263">
        <v>1649</v>
      </c>
      <c r="G664" s="242" t="str">
        <f>IF(Tableau3453[[#This Row],[Date 
du paiement]]="",Tableau3453[[#This Row],[Montant
de la facture
CHF]],"")</f>
        <v/>
      </c>
      <c r="H664" s="243"/>
      <c r="I664" s="245">
        <v>45510</v>
      </c>
      <c r="J664" s="329">
        <v>45576</v>
      </c>
      <c r="K664" s="330" t="s">
        <v>58</v>
      </c>
      <c r="L664" s="264">
        <v>3</v>
      </c>
      <c r="M664" s="265">
        <f>IF(Tableau3453[[#This Row],[Date 
du paiement]]="",$D$4-Tableau3453[[#This Row],[Date
de la facture]],Tableau3453[[#This Row],[Date 
du paiement]]-Tableau3453[[#This Row],[Date
de la facture]])</f>
        <v>72</v>
      </c>
      <c r="N664" s="263" t="str">
        <f>IF(Tableau3453[[#This Row],[Date 
du paiement]]="",IF(Tableau3453[[#This Row],[Jours]]&lt;30,Tableau3453[[#This Row],[Montant
de la facture
CHF]],""),"")</f>
        <v/>
      </c>
      <c r="O664" s="263" t="str">
        <f>IF(Tableau3453[[#This Row],[Date 
du paiement]]="",IF(Tableau3453[[#This Row],[Jours]]&gt;30,IF(Tableau3453[[#This Row],[Jours]]&lt;60,Tableau3453[[#This Row],[Montant
de la facture
CHF]],""),""),"")</f>
        <v/>
      </c>
      <c r="P664" s="263" t="str">
        <f>IF(Tableau3453[[#This Row],[Date 
du paiement]]="",IF(Tableau3453[[#This Row],[Jours]]&gt;60,Tableau3453[[#This Row],[Montant
de la facture
CHF]],""),"")</f>
        <v/>
      </c>
      <c r="Q664" s="266" t="s">
        <v>1613</v>
      </c>
      <c r="R664" s="267" t="str">
        <f>Tableau3453[[#This Row],[Solde 
ouverte
fm]]</f>
        <v/>
      </c>
      <c r="S66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5" spans="1:19" hidden="1" x14ac:dyDescent="0.25">
      <c r="A665" s="268">
        <v>18</v>
      </c>
      <c r="B665" s="239" t="s">
        <v>860</v>
      </c>
      <c r="C665" s="400" t="str">
        <f>IF(Tableau3453[[#This Row],[Date 
du paiement]]="",IF(Tableau3453[[#This Row],[Jours]]&gt;Tableau3453[[#This Row],[Conditions
pmt+]]+5,"oui",""),"")</f>
        <v/>
      </c>
      <c r="D665" s="262" t="s">
        <v>1295</v>
      </c>
      <c r="E665" s="240">
        <v>45526</v>
      </c>
      <c r="F665" s="340">
        <v>-2382.75</v>
      </c>
      <c r="G665" s="242" t="str">
        <f>IF(Tableau3453[[#This Row],[Date 
du paiement]]="",Tableau3453[[#This Row],[Montant
de la facture
CHF]],"")</f>
        <v/>
      </c>
      <c r="H665" s="243"/>
      <c r="I665" s="245">
        <v>45526</v>
      </c>
      <c r="J665" s="246">
        <v>45567</v>
      </c>
      <c r="K665" s="247" t="s">
        <v>58</v>
      </c>
      <c r="L665" s="264"/>
      <c r="M665" s="265">
        <f>IF(Tableau3453[[#This Row],[Date 
du paiement]]="",$D$4-Tableau3453[[#This Row],[Date
de la facture]],Tableau3453[[#This Row],[Date 
du paiement]]-Tableau3453[[#This Row],[Date
de la facture]])</f>
        <v>41</v>
      </c>
      <c r="N665" s="263" t="str">
        <f>IF(Tableau3453[[#This Row],[Date 
du paiement]]="",IF(Tableau3453[[#This Row],[Jours]]&lt;30,Tableau3453[[#This Row],[Montant
de la facture
CHF]],""),"")</f>
        <v/>
      </c>
      <c r="O665" s="263" t="str">
        <f>IF(Tableau3453[[#This Row],[Date 
du paiement]]="",IF(Tableau3453[[#This Row],[Jours]]&gt;30,IF(Tableau3453[[#This Row],[Jours]]&lt;60,Tableau3453[[#This Row],[Montant
de la facture
CHF]],""),""),"")</f>
        <v/>
      </c>
      <c r="P665" s="263" t="str">
        <f>IF(Tableau3453[[#This Row],[Date 
du paiement]]="",IF(Tableau3453[[#This Row],[Jours]]&gt;60,Tableau3453[[#This Row],[Montant
de la facture
CHF]],""),"")</f>
        <v/>
      </c>
      <c r="Q665" s="266"/>
      <c r="R665" s="267" t="str">
        <f>Tableau3453[[#This Row],[Solde 
ouverte
fm]]</f>
        <v/>
      </c>
      <c r="S66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6" spans="1:19" hidden="1" x14ac:dyDescent="0.25">
      <c r="A666" s="268">
        <v>240829</v>
      </c>
      <c r="B666" s="239">
        <v>30</v>
      </c>
      <c r="C666" s="400" t="str">
        <f>IF(Tableau3453[[#This Row],[Date 
du paiement]]="",IF(Tableau3453[[#This Row],[Jours]]&gt;Tableau3453[[#This Row],[Conditions
pmt+]]+5,"oui",""),"")</f>
        <v/>
      </c>
      <c r="D666" s="262" t="s">
        <v>1184</v>
      </c>
      <c r="E666" s="240">
        <v>45532</v>
      </c>
      <c r="F666" s="263">
        <v>544.6</v>
      </c>
      <c r="G666" s="242" t="str">
        <f>IF(Tableau3453[[#This Row],[Date 
du paiement]]="",Tableau3453[[#This Row],[Montant
de la facture
CHF]],"")</f>
        <v/>
      </c>
      <c r="H666" s="243"/>
      <c r="I666" s="245">
        <v>45533</v>
      </c>
      <c r="J666" s="329">
        <v>45576</v>
      </c>
      <c r="K666" s="330" t="s">
        <v>58</v>
      </c>
      <c r="L666" s="264">
        <v>1</v>
      </c>
      <c r="M666" s="265">
        <f>IF(Tableau3453[[#This Row],[Date 
du paiement]]="",$D$4-Tableau3453[[#This Row],[Date
de la facture]],Tableau3453[[#This Row],[Date 
du paiement]]-Tableau3453[[#This Row],[Date
de la facture]])</f>
        <v>44</v>
      </c>
      <c r="N666" s="263" t="str">
        <f>IF(Tableau3453[[#This Row],[Date 
du paiement]]="",IF(Tableau3453[[#This Row],[Jours]]&lt;30,Tableau3453[[#This Row],[Montant
de la facture
CHF]],""),"")</f>
        <v/>
      </c>
      <c r="O666" s="263" t="str">
        <f>IF(Tableau3453[[#This Row],[Date 
du paiement]]="",IF(Tableau3453[[#This Row],[Jours]]&gt;30,IF(Tableau3453[[#This Row],[Jours]]&lt;60,Tableau3453[[#This Row],[Montant
de la facture
CHF]],""),""),"")</f>
        <v/>
      </c>
      <c r="P666" s="263" t="str">
        <f>IF(Tableau3453[[#This Row],[Date 
du paiement]]="",IF(Tableau3453[[#This Row],[Jours]]&gt;60,Tableau3453[[#This Row],[Montant
de la facture
CHF]],""),"")</f>
        <v/>
      </c>
      <c r="Q666" s="266"/>
      <c r="R666" s="267" t="str">
        <f>Tableau3453[[#This Row],[Solde 
ouverte
fm]]</f>
        <v/>
      </c>
      <c r="S66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7" spans="1:19" hidden="1" x14ac:dyDescent="0.25">
      <c r="A667" s="323">
        <v>240836</v>
      </c>
      <c r="B667" s="324" t="s">
        <v>860</v>
      </c>
      <c r="C667" s="400" t="str">
        <f>IF(Tableau3453[[#This Row],[Date 
du paiement]]="",IF(Tableau3453[[#This Row],[Jours]]&gt;Tableau3453[[#This Row],[Conditions
pmt+]]+5,"oui",""),"")</f>
        <v/>
      </c>
      <c r="D667" s="325" t="s">
        <v>1184</v>
      </c>
      <c r="E667" s="326">
        <v>45537</v>
      </c>
      <c r="F667" s="327">
        <v>215.1</v>
      </c>
      <c r="G667" s="405" t="str">
        <f>IF(Tableau3453[[#This Row],[Date 
du paiement]]="",Tableau3453[[#This Row],[Montant
de la facture
CHF]],"")</f>
        <v/>
      </c>
      <c r="H667" s="328"/>
      <c r="I667" s="335">
        <v>45537</v>
      </c>
      <c r="J667" s="329">
        <v>45576</v>
      </c>
      <c r="K667" s="330" t="s">
        <v>58</v>
      </c>
      <c r="L667" s="331">
        <v>1</v>
      </c>
      <c r="M667" s="332">
        <f>IF(Tableau3453[[#This Row],[Date 
du paiement]]="",$D$4-Tableau3453[[#This Row],[Date
de la facture]],Tableau3453[[#This Row],[Date 
du paiement]]-Tableau3453[[#This Row],[Date
de la facture]])</f>
        <v>39</v>
      </c>
      <c r="N667" s="327" t="str">
        <f>IF(Tableau3453[[#This Row],[Date 
du paiement]]="",IF(Tableau3453[[#This Row],[Jours]]&lt;30,Tableau3453[[#This Row],[Montant
de la facture
CHF]],""),"")</f>
        <v/>
      </c>
      <c r="O667" s="327" t="str">
        <f>IF(Tableau3453[[#This Row],[Date 
du paiement]]="",IF(Tableau3453[[#This Row],[Jours]]&gt;30,IF(Tableau3453[[#This Row],[Jours]]&lt;60,Tableau3453[[#This Row],[Montant
de la facture
CHF]],""),""),"")</f>
        <v/>
      </c>
      <c r="P667" s="327" t="str">
        <f>IF(Tableau3453[[#This Row],[Date 
du paiement]]="",IF(Tableau3453[[#This Row],[Jours]]&gt;60,Tableau3453[[#This Row],[Montant
de la facture
CHF]],""),"")</f>
        <v/>
      </c>
      <c r="Q667" s="333"/>
      <c r="R667" s="334" t="str">
        <f>Tableau3453[[#This Row],[Solde 
ouverte
fm]]</f>
        <v/>
      </c>
      <c r="S667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8" spans="1:19" hidden="1" x14ac:dyDescent="0.25">
      <c r="A668" s="323">
        <v>240935</v>
      </c>
      <c r="B668" s="324" t="s">
        <v>860</v>
      </c>
      <c r="C668" s="400" t="str">
        <f>IF(Tableau3453[[#This Row],[Date 
du paiement]]="",IF(Tableau3453[[#This Row],[Jours]]&gt;Tableau3453[[#This Row],[Conditions
pmt+]]+5,"oui",""),"")</f>
        <v/>
      </c>
      <c r="D668" s="325" t="s">
        <v>924</v>
      </c>
      <c r="E668" s="326">
        <v>45568</v>
      </c>
      <c r="F668" s="327">
        <v>826.95</v>
      </c>
      <c r="G668" s="403" t="str">
        <f>IF(Tableau3453[[#This Row],[Date 
du paiement]]="",Tableau3453[[#This Row],[Montant
de la facture
CHF]],"")</f>
        <v/>
      </c>
      <c r="H668" s="328"/>
      <c r="I668" s="335">
        <v>45568</v>
      </c>
      <c r="J668" s="329">
        <v>45566</v>
      </c>
      <c r="K668" s="330" t="s">
        <v>58</v>
      </c>
      <c r="L668" s="331"/>
      <c r="M668" s="332">
        <f>IF(Tableau3453[[#This Row],[Date 
du paiement]]="",$D$4-Tableau3453[[#This Row],[Date
de la facture]],Tableau3453[[#This Row],[Date 
du paiement]]-Tableau3453[[#This Row],[Date
de la facture]])</f>
        <v>-2</v>
      </c>
      <c r="N668" s="327" t="str">
        <f>IF(Tableau3453[[#This Row],[Date 
du paiement]]="",IF(Tableau3453[[#This Row],[Jours]]&lt;30,Tableau3453[[#This Row],[Montant
de la facture
CHF]],""),"")</f>
        <v/>
      </c>
      <c r="O668" s="327" t="str">
        <f>IF(Tableau3453[[#This Row],[Date 
du paiement]]="",IF(Tableau3453[[#This Row],[Jours]]&gt;30,IF(Tableau3453[[#This Row],[Jours]]&lt;60,Tableau3453[[#This Row],[Montant
de la facture
CHF]],""),""),"")</f>
        <v/>
      </c>
      <c r="P668" s="327" t="str">
        <f>IF(Tableau3453[[#This Row],[Date 
du paiement]]="",IF(Tableau3453[[#This Row],[Jours]]&gt;60,Tableau3453[[#This Row],[Montant
de la facture
CHF]],""),"")</f>
        <v/>
      </c>
      <c r="Q668" s="333"/>
      <c r="R668" s="334" t="str">
        <f>Tableau3453[[#This Row],[Solde 
ouverte
fm]]</f>
        <v/>
      </c>
      <c r="S668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69" spans="1:19" x14ac:dyDescent="0.25">
      <c r="A669" s="268">
        <v>241041</v>
      </c>
      <c r="B669" s="239">
        <v>30</v>
      </c>
      <c r="C669" s="505" t="str">
        <f ca="1">IF(Tableau3453[[#This Row],[Date 
du paiement]]="",IF(Tableau3453[[#This Row],[Jours]]&gt;Tableau3453[[#This Row],[Conditions
pmt+]]+5,"oui",""),"")</f>
        <v/>
      </c>
      <c r="D669" s="262" t="s">
        <v>1832</v>
      </c>
      <c r="E669" s="240">
        <v>45615</v>
      </c>
      <c r="F669" s="263">
        <v>873.8</v>
      </c>
      <c r="G669" s="501">
        <f>IF(Tableau3453[[#This Row],[Date 
du paiement]]="",Tableau3453[[#This Row],[Montant
de la facture
CHF]],"")</f>
        <v>873.8</v>
      </c>
      <c r="H669" s="243"/>
      <c r="I669" s="459">
        <v>45616</v>
      </c>
      <c r="J669" s="246"/>
      <c r="K669" s="247"/>
      <c r="L669" s="264"/>
      <c r="M669" s="265">
        <f ca="1">IF(Tableau3453[[#This Row],[Date 
du paiement]]="",$D$4-Tableau3453[[#This Row],[Date
de la facture]],Tableau3453[[#This Row],[Date 
du paiement]]-Tableau3453[[#This Row],[Date
de la facture]])</f>
        <v>2.4694253472189303</v>
      </c>
      <c r="N669" s="263">
        <f ca="1">IF(Tableau3453[[#This Row],[Date 
du paiement]]="",IF(Tableau3453[[#This Row],[Jours]]&lt;30,Tableau3453[[#This Row],[Montant
de la facture
CHF]],""),"")</f>
        <v>873.8</v>
      </c>
      <c r="O669" s="263" t="str">
        <f ca="1">IF(Tableau3453[[#This Row],[Date 
du paiement]]="",IF(Tableau3453[[#This Row],[Jours]]&gt;30,IF(Tableau3453[[#This Row],[Jours]]&lt;60,Tableau3453[[#This Row],[Montant
de la facture
CHF]],""),""),"")</f>
        <v/>
      </c>
      <c r="P669" s="263" t="str">
        <f ca="1">IF(Tableau3453[[#This Row],[Date 
du paiement]]="",IF(Tableau3453[[#This Row],[Jours]]&gt;60,Tableau3453[[#This Row],[Montant
de la facture
CHF]],""),"")</f>
        <v/>
      </c>
      <c r="Q669" s="266"/>
      <c r="R669" s="267">
        <f>Tableau3453[[#This Row],[Solde 
ouverte
fm]]</f>
        <v>873.8</v>
      </c>
      <c r="S669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70" spans="1:19" hidden="1" x14ac:dyDescent="0.25">
      <c r="A670" s="268">
        <v>240905</v>
      </c>
      <c r="B670" s="239">
        <v>30</v>
      </c>
      <c r="C670" s="352" t="str">
        <f>IF(Tableau3453[[#This Row],[Date 
du paiement]]="",IF(Tableau3453[[#This Row],[Jours]]&gt;Tableau3453[[#This Row],[Conditions
pmt+]]+5,"oui",""),"")</f>
        <v/>
      </c>
      <c r="D670" s="373" t="s">
        <v>879</v>
      </c>
      <c r="E670" s="240">
        <v>45561</v>
      </c>
      <c r="F670" s="397">
        <v>2414.4499999999998</v>
      </c>
      <c r="G670" s="396" t="str">
        <f>IF(Tableau3453[[#This Row],[Date 
du paiement]]="",Tableau3453[[#This Row],[Montant
de la facture
CHF]],"")</f>
        <v/>
      </c>
      <c r="H670" s="243"/>
      <c r="I670" s="245">
        <v>45561</v>
      </c>
      <c r="J670" s="246">
        <v>45595</v>
      </c>
      <c r="K670" s="247" t="s">
        <v>58</v>
      </c>
      <c r="L670" s="264"/>
      <c r="M670" s="265">
        <f>IF(Tableau3453[[#This Row],[Date 
du paiement]]="",$D$4-Tableau3453[[#This Row],[Date
de la facture]],Tableau3453[[#This Row],[Date 
du paiement]]-Tableau3453[[#This Row],[Date
de la facture]])</f>
        <v>34</v>
      </c>
      <c r="N670" s="263" t="str">
        <f>IF(Tableau3453[[#This Row],[Date 
du paiement]]="",IF(Tableau3453[[#This Row],[Jours]]&lt;30,Tableau3453[[#This Row],[Montant
de la facture
CHF]],""),"")</f>
        <v/>
      </c>
      <c r="O670" s="263" t="str">
        <f>IF(Tableau3453[[#This Row],[Date 
du paiement]]="",IF(Tableau3453[[#This Row],[Jours]]&gt;30,IF(Tableau3453[[#This Row],[Jours]]&lt;60,Tableau3453[[#This Row],[Montant
de la facture
CHF]],""),""),"")</f>
        <v/>
      </c>
      <c r="P670" s="263" t="str">
        <f>IF(Tableau3453[[#This Row],[Date 
du paiement]]="",IF(Tableau3453[[#This Row],[Jours]]&gt;60,Tableau3453[[#This Row],[Montant
de la facture
CHF]],""),"")</f>
        <v/>
      </c>
      <c r="Q670" s="266"/>
      <c r="R670" s="267" t="str">
        <f>Tableau3453[[#This Row],[Solde 
ouverte
fm]]</f>
        <v/>
      </c>
      <c r="S67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1" spans="1:19" x14ac:dyDescent="0.25">
      <c r="A671" s="473">
        <v>240759</v>
      </c>
      <c r="B671" s="454">
        <v>30</v>
      </c>
      <c r="C671" s="505" t="str">
        <f ca="1">IF(Tableau3453[[#This Row],[Date 
du paiement]]="",IF(Tableau3453[[#This Row],[Jours]]&gt;Tableau3453[[#This Row],[Conditions
pmt+]]+5,"oui",""),"")</f>
        <v/>
      </c>
      <c r="D671" s="467" t="s">
        <v>934</v>
      </c>
      <c r="E671" s="455">
        <v>45596</v>
      </c>
      <c r="F671" s="468">
        <v>52565.3</v>
      </c>
      <c r="G671" s="501">
        <f>IF(Tableau3453[[#This Row],[Date 
du paiement]]="",Tableau3453[[#This Row],[Montant
de la facture
CHF]],"")</f>
        <v>52565.3</v>
      </c>
      <c r="H671" s="458"/>
      <c r="I671" s="459">
        <v>45603</v>
      </c>
      <c r="J671" s="460"/>
      <c r="K671" s="461"/>
      <c r="L671" s="469"/>
      <c r="M671" s="470">
        <f ca="1">IF(Tableau3453[[#This Row],[Date 
du paiement]]="",$D$4-Tableau3453[[#This Row],[Date
de la facture]],Tableau3453[[#This Row],[Date 
du paiement]]-Tableau3453[[#This Row],[Date
de la facture]])</f>
        <v>21.46942534721893</v>
      </c>
      <c r="N671" s="468">
        <f ca="1">IF(Tableau3453[[#This Row],[Date 
du paiement]]="",IF(Tableau3453[[#This Row],[Jours]]&lt;30,Tableau3453[[#This Row],[Montant
de la facture
CHF]],""),"")</f>
        <v>52565.3</v>
      </c>
      <c r="O671" s="468" t="str">
        <f ca="1">IF(Tableau3453[[#This Row],[Date 
du paiement]]="",IF(Tableau3453[[#This Row],[Jours]]&gt;30,IF(Tableau3453[[#This Row],[Jours]]&lt;60,Tableau3453[[#This Row],[Montant
de la facture
CHF]],""),""),"")</f>
        <v/>
      </c>
      <c r="P671" s="468" t="str">
        <f ca="1">IF(Tableau3453[[#This Row],[Date 
du paiement]]="",IF(Tableau3453[[#This Row],[Jours]]&gt;60,Tableau3453[[#This Row],[Montant
de la facture
CHF]],""),"")</f>
        <v/>
      </c>
      <c r="Q671" s="471"/>
      <c r="R671" s="472">
        <f>Tableau3453[[#This Row],[Solde 
ouverte
fm]]</f>
        <v>52565.3</v>
      </c>
      <c r="S671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72" spans="1:19" hidden="1" x14ac:dyDescent="0.25">
      <c r="A672" s="268">
        <v>240986</v>
      </c>
      <c r="B672" s="239">
        <v>30</v>
      </c>
      <c r="C672" s="505" t="str">
        <f>IF(Tableau3453[[#This Row],[Date 
du paiement]]="",IF(Tableau3453[[#This Row],[Jours]]&gt;Tableau3453[[#This Row],[Conditions
pmt+]]+5,"oui",""),"")</f>
        <v/>
      </c>
      <c r="D672" s="467" t="s">
        <v>1016</v>
      </c>
      <c r="E672" s="240">
        <v>45580</v>
      </c>
      <c r="F672" s="468">
        <v>897.65</v>
      </c>
      <c r="G672" s="501" t="str">
        <f>IF(Tableau3453[[#This Row],[Date 
du paiement]]="",Tableau3453[[#This Row],[Montant
de la facture
CHF]],"")</f>
        <v/>
      </c>
      <c r="H672" s="243"/>
      <c r="I672" s="245">
        <v>45582</v>
      </c>
      <c r="J672" s="246">
        <v>45609</v>
      </c>
      <c r="K672" s="247" t="s">
        <v>58</v>
      </c>
      <c r="L672" s="264"/>
      <c r="M672" s="265">
        <f>IF(Tableau3453[[#This Row],[Date 
du paiement]]="",$D$4-Tableau3453[[#This Row],[Date
de la facture]],Tableau3453[[#This Row],[Date 
du paiement]]-Tableau3453[[#This Row],[Date
de la facture]])</f>
        <v>29</v>
      </c>
      <c r="N672" s="263" t="str">
        <f>IF(Tableau3453[[#This Row],[Date 
du paiement]]="",IF(Tableau3453[[#This Row],[Jours]]&lt;30,Tableau3453[[#This Row],[Montant
de la facture
CHF]],""),"")</f>
        <v/>
      </c>
      <c r="O672" s="263" t="str">
        <f>IF(Tableau3453[[#This Row],[Date 
du paiement]]="",IF(Tableau3453[[#This Row],[Jours]]&gt;30,IF(Tableau3453[[#This Row],[Jours]]&lt;60,Tableau3453[[#This Row],[Montant
de la facture
CHF]],""),""),"")</f>
        <v/>
      </c>
      <c r="P672" s="263" t="str">
        <f>IF(Tableau3453[[#This Row],[Date 
du paiement]]="",IF(Tableau3453[[#This Row],[Jours]]&gt;60,Tableau3453[[#This Row],[Montant
de la facture
CHF]],""),"")</f>
        <v/>
      </c>
      <c r="Q672" s="266"/>
      <c r="R672" s="267" t="str">
        <f>Tableau3453[[#This Row],[Solde 
ouverte
fm]]</f>
        <v/>
      </c>
      <c r="S67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3" spans="1:19" hidden="1" x14ac:dyDescent="0.25">
      <c r="A673" s="268">
        <v>240942</v>
      </c>
      <c r="B673" s="239">
        <v>30</v>
      </c>
      <c r="C673" s="505" t="str">
        <f>IF(Tableau3453[[#This Row],[Date 
du paiement]]="",IF(Tableau3453[[#This Row],[Jours]]&gt;Tableau3453[[#This Row],[Conditions
pmt+]]+5,"oui",""),"")</f>
        <v/>
      </c>
      <c r="D673" s="467" t="s">
        <v>899</v>
      </c>
      <c r="E673" s="455">
        <v>45573</v>
      </c>
      <c r="F673" s="468">
        <v>3436.45</v>
      </c>
      <c r="G673" s="501" t="str">
        <f>IF(Tableau3453[[#This Row],[Date 
du paiement]]="",Tableau3453[[#This Row],[Montant
de la facture
CHF]],"")</f>
        <v/>
      </c>
      <c r="H673" s="243"/>
      <c r="I673" s="245">
        <v>45579</v>
      </c>
      <c r="J673" s="246">
        <v>45611</v>
      </c>
      <c r="K673" s="247" t="s">
        <v>58</v>
      </c>
      <c r="L673" s="264">
        <v>1</v>
      </c>
      <c r="M673" s="265">
        <f>IF(Tableau3453[[#This Row],[Date 
du paiement]]="",$D$4-Tableau3453[[#This Row],[Date
de la facture]],Tableau3453[[#This Row],[Date 
du paiement]]-Tableau3453[[#This Row],[Date
de la facture]])</f>
        <v>38</v>
      </c>
      <c r="N673" s="263" t="str">
        <f>IF(Tableau3453[[#This Row],[Date 
du paiement]]="",IF(Tableau3453[[#This Row],[Jours]]&lt;30,Tableau3453[[#This Row],[Montant
de la facture
CHF]],""),"")</f>
        <v/>
      </c>
      <c r="O673" s="263" t="str">
        <f>IF(Tableau3453[[#This Row],[Date 
du paiement]]="",IF(Tableau3453[[#This Row],[Jours]]&gt;30,IF(Tableau3453[[#This Row],[Jours]]&lt;60,Tableau3453[[#This Row],[Montant
de la facture
CHF]],""),""),"")</f>
        <v/>
      </c>
      <c r="P673" s="263" t="str">
        <f>IF(Tableau3453[[#This Row],[Date 
du paiement]]="",IF(Tableau3453[[#This Row],[Jours]]&gt;60,Tableau3453[[#This Row],[Montant
de la facture
CHF]],""),"")</f>
        <v/>
      </c>
      <c r="Q673" s="266" t="s">
        <v>1801</v>
      </c>
      <c r="R673" s="267" t="str">
        <f>Tableau3453[[#This Row],[Solde 
ouverte
fm]]</f>
        <v/>
      </c>
      <c r="S67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4" spans="1:19" hidden="1" x14ac:dyDescent="0.25">
      <c r="A674" s="268">
        <v>240911</v>
      </c>
      <c r="B674" s="239">
        <v>30</v>
      </c>
      <c r="C674" s="352" t="str">
        <f>IF(Tableau3453[[#This Row],[Date 
du paiement]]="",IF(Tableau3453[[#This Row],[Jours]]&gt;Tableau3453[[#This Row],[Conditions
pmt+]]+5,"oui",""),"")</f>
        <v/>
      </c>
      <c r="D674" s="373" t="s">
        <v>902</v>
      </c>
      <c r="E674" s="240">
        <v>45561</v>
      </c>
      <c r="F674" s="397">
        <v>1937.5</v>
      </c>
      <c r="G674" s="396" t="str">
        <f>IF(Tableau3453[[#This Row],[Date 
du paiement]]="",Tableau3453[[#This Row],[Montant
de la facture
CHF]],"")</f>
        <v/>
      </c>
      <c r="H674" s="243"/>
      <c r="I674" s="245">
        <v>45561</v>
      </c>
      <c r="J674" s="246">
        <v>45590</v>
      </c>
      <c r="K674" s="247" t="s">
        <v>58</v>
      </c>
      <c r="L674" s="264"/>
      <c r="M674" s="265">
        <f>IF(Tableau3453[[#This Row],[Date 
du paiement]]="",$D$4-Tableau3453[[#This Row],[Date
de la facture]],Tableau3453[[#This Row],[Date 
du paiement]]-Tableau3453[[#This Row],[Date
de la facture]])</f>
        <v>29</v>
      </c>
      <c r="N674" s="263" t="str">
        <f>IF(Tableau3453[[#This Row],[Date 
du paiement]]="",IF(Tableau3453[[#This Row],[Jours]]&lt;30,Tableau3453[[#This Row],[Montant
de la facture
CHF]],""),"")</f>
        <v/>
      </c>
      <c r="O674" s="263" t="str">
        <f>IF(Tableau3453[[#This Row],[Date 
du paiement]]="",IF(Tableau3453[[#This Row],[Jours]]&gt;30,IF(Tableau3453[[#This Row],[Jours]]&lt;60,Tableau3453[[#This Row],[Montant
de la facture
CHF]],""),""),"")</f>
        <v/>
      </c>
      <c r="P674" s="263" t="str">
        <f>IF(Tableau3453[[#This Row],[Date 
du paiement]]="",IF(Tableau3453[[#This Row],[Jours]]&gt;60,Tableau3453[[#This Row],[Montant
de la facture
CHF]],""),"")</f>
        <v/>
      </c>
      <c r="Q674" s="266"/>
      <c r="R674" s="267" t="str">
        <f>Tableau3453[[#This Row],[Solde 
ouverte
fm]]</f>
        <v/>
      </c>
      <c r="S67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5" spans="1:19" x14ac:dyDescent="0.25">
      <c r="A675" s="268">
        <v>241019</v>
      </c>
      <c r="B675" s="239">
        <v>30</v>
      </c>
      <c r="C675" s="505" t="str">
        <f ca="1">IF(Tableau3453[[#This Row],[Date 
du paiement]]="",IF(Tableau3453[[#This Row],[Jours]]&gt;Tableau3453[[#This Row],[Conditions
pmt+]]+5,"oui",""),"")</f>
        <v/>
      </c>
      <c r="D675" s="467" t="s">
        <v>1210</v>
      </c>
      <c r="E675" s="240">
        <v>45596</v>
      </c>
      <c r="F675" s="468">
        <v>5778.45</v>
      </c>
      <c r="G675" s="501">
        <f>IF(Tableau3453[[#This Row],[Date 
du paiement]]="",Tableau3453[[#This Row],[Montant
de la facture
CHF]],"")</f>
        <v>5778.45</v>
      </c>
      <c r="H675" s="243"/>
      <c r="I675" s="245">
        <v>45597</v>
      </c>
      <c r="J675" s="246"/>
      <c r="K675" s="247"/>
      <c r="L675" s="469"/>
      <c r="M675" s="265">
        <f ca="1">IF(Tableau3453[[#This Row],[Date 
du paiement]]="",$D$4-Tableau3453[[#This Row],[Date
de la facture]],Tableau3453[[#This Row],[Date 
du paiement]]-Tableau3453[[#This Row],[Date
de la facture]])</f>
        <v>21.46942534721893</v>
      </c>
      <c r="N675" s="263">
        <f ca="1">IF(Tableau3453[[#This Row],[Date 
du paiement]]="",IF(Tableau3453[[#This Row],[Jours]]&lt;30,Tableau3453[[#This Row],[Montant
de la facture
CHF]],""),"")</f>
        <v>5778.45</v>
      </c>
      <c r="O675" s="263" t="str">
        <f ca="1">IF(Tableau3453[[#This Row],[Date 
du paiement]]="",IF(Tableau3453[[#This Row],[Jours]]&gt;30,IF(Tableau3453[[#This Row],[Jours]]&lt;60,Tableau3453[[#This Row],[Montant
de la facture
CHF]],""),""),"")</f>
        <v/>
      </c>
      <c r="P675" s="263" t="str">
        <f ca="1">IF(Tableau3453[[#This Row],[Date 
du paiement]]="",IF(Tableau3453[[#This Row],[Jours]]&gt;60,Tableau3453[[#This Row],[Montant
de la facture
CHF]],""),"")</f>
        <v/>
      </c>
      <c r="Q675" s="266"/>
      <c r="R675" s="267">
        <f>Tableau3453[[#This Row],[Solde 
ouverte
fm]]</f>
        <v>5778.45</v>
      </c>
      <c r="S67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76" spans="1:19" hidden="1" x14ac:dyDescent="0.25">
      <c r="A676" s="380">
        <v>240874</v>
      </c>
      <c r="B676" s="408">
        <v>30</v>
      </c>
      <c r="C676" s="430" t="str">
        <f>IF(Tableau3453[[#This Row],[Date 
du paiement]]="",IF(Tableau3453[[#This Row],[Jours]]&gt;Tableau3453[[#This Row],[Conditions
pmt+]]+5,"oui",""),"")</f>
        <v/>
      </c>
      <c r="D676" s="382" t="s">
        <v>885</v>
      </c>
      <c r="E676" s="383">
        <v>45569</v>
      </c>
      <c r="F676" s="384">
        <v>824.25</v>
      </c>
      <c r="G676" s="431" t="str">
        <f>IF(Tableau3453[[#This Row],[Date 
du paiement]]="",Tableau3453[[#This Row],[Montant
de la facture
CHF]],"")</f>
        <v/>
      </c>
      <c r="H676" s="411"/>
      <c r="I676" s="418">
        <v>45573</v>
      </c>
      <c r="J676" s="387">
        <v>45573</v>
      </c>
      <c r="K676" s="388" t="s">
        <v>58</v>
      </c>
      <c r="L676" s="389"/>
      <c r="M676" s="390">
        <f>IF(Tableau3453[[#This Row],[Date 
du paiement]]="",$D$4-Tableau3453[[#This Row],[Date
de la facture]],Tableau3453[[#This Row],[Date 
du paiement]]-Tableau3453[[#This Row],[Date
de la facture]])</f>
        <v>4</v>
      </c>
      <c r="N676" s="384" t="str">
        <f>IF(Tableau3453[[#This Row],[Date 
du paiement]]="",IF(Tableau3453[[#This Row],[Jours]]&lt;30,Tableau3453[[#This Row],[Montant
de la facture
CHF]],""),"")</f>
        <v/>
      </c>
      <c r="O676" s="384" t="str">
        <f>IF(Tableau3453[[#This Row],[Date 
du paiement]]="",IF(Tableau3453[[#This Row],[Jours]]&gt;30,IF(Tableau3453[[#This Row],[Jours]]&lt;60,Tableau3453[[#This Row],[Montant
de la facture
CHF]],""),""),"")</f>
        <v/>
      </c>
      <c r="P676" s="384" t="str">
        <f>IF(Tableau3453[[#This Row],[Date 
du paiement]]="",IF(Tableau3453[[#This Row],[Jours]]&gt;60,Tableau3453[[#This Row],[Montant
de la facture
CHF]],""),"")</f>
        <v/>
      </c>
      <c r="Q676" s="416"/>
      <c r="R676" s="391" t="str">
        <f>Tableau3453[[#This Row],[Solde 
ouverte
fm]]</f>
        <v/>
      </c>
      <c r="S676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7" spans="1:19" hidden="1" x14ac:dyDescent="0.25">
      <c r="A677" s="268">
        <v>240929</v>
      </c>
      <c r="B677" s="239">
        <v>30</v>
      </c>
      <c r="C677" s="400" t="str">
        <f>IF(Tableau3453[[#This Row],[Date 
du paiement]]="",IF(Tableau3453[[#This Row],[Jours]]&gt;Tableau3453[[#This Row],[Conditions
pmt+]]+5,"oui",""),"")</f>
        <v/>
      </c>
      <c r="D677" s="262" t="s">
        <v>1117</v>
      </c>
      <c r="E677" s="240">
        <v>45568</v>
      </c>
      <c r="F677" s="263">
        <v>2024.4</v>
      </c>
      <c r="G677" s="396" t="str">
        <f>IF(Tableau3453[[#This Row],[Date 
du paiement]]="",Tableau3453[[#This Row],[Montant
de la facture
CHF]],"")</f>
        <v/>
      </c>
      <c r="H677" s="243"/>
      <c r="I677" s="335">
        <v>45568</v>
      </c>
      <c r="J677" s="246">
        <v>45580</v>
      </c>
      <c r="K677" s="247" t="s">
        <v>58</v>
      </c>
      <c r="L677" s="264"/>
      <c r="M677" s="265">
        <f>IF(Tableau3453[[#This Row],[Date 
du paiement]]="",$D$4-Tableau3453[[#This Row],[Date
de la facture]],Tableau3453[[#This Row],[Date 
du paiement]]-Tableau3453[[#This Row],[Date
de la facture]])</f>
        <v>12</v>
      </c>
      <c r="N677" s="263" t="str">
        <f>IF(Tableau3453[[#This Row],[Date 
du paiement]]="",IF(Tableau3453[[#This Row],[Jours]]&lt;30,Tableau3453[[#This Row],[Montant
de la facture
CHF]],""),"")</f>
        <v/>
      </c>
      <c r="O677" s="263" t="str">
        <f>IF(Tableau3453[[#This Row],[Date 
du paiement]]="",IF(Tableau3453[[#This Row],[Jours]]&gt;30,IF(Tableau3453[[#This Row],[Jours]]&lt;60,Tableau3453[[#This Row],[Montant
de la facture
CHF]],""),""),"")</f>
        <v/>
      </c>
      <c r="P677" s="263" t="str">
        <f>IF(Tableau3453[[#This Row],[Date 
du paiement]]="",IF(Tableau3453[[#This Row],[Jours]]&gt;60,Tableau3453[[#This Row],[Montant
de la facture
CHF]],""),"")</f>
        <v/>
      </c>
      <c r="Q677" s="266"/>
      <c r="R677" s="267" t="str">
        <f>Tableau3453[[#This Row],[Solde 
ouverte
fm]]</f>
        <v/>
      </c>
      <c r="S67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8" spans="1:19" hidden="1" x14ac:dyDescent="0.25">
      <c r="A678" s="323">
        <v>240789</v>
      </c>
      <c r="B678" s="324" t="s">
        <v>870</v>
      </c>
      <c r="C678" s="400" t="str">
        <f>IF(Tableau3453[[#This Row],[Date 
du paiement]]="",IF(Tableau3453[[#This Row],[Jours]]&gt;Tableau3453[[#This Row],[Conditions
pmt+]]+5,"oui",""),"")</f>
        <v/>
      </c>
      <c r="D678" s="325" t="s">
        <v>858</v>
      </c>
      <c r="E678" s="326">
        <v>45572</v>
      </c>
      <c r="F678" s="327">
        <v>719.95</v>
      </c>
      <c r="G678" s="403" t="str">
        <f>IF(Tableau3453[[#This Row],[Date 
du paiement]]="",Tableau3453[[#This Row],[Montant
de la facture
CHF]],"")</f>
        <v/>
      </c>
      <c r="H678" s="328"/>
      <c r="I678" s="335">
        <v>45573</v>
      </c>
      <c r="J678" s="329">
        <v>45552</v>
      </c>
      <c r="K678" s="330" t="s">
        <v>58</v>
      </c>
      <c r="L678" s="331"/>
      <c r="M678" s="332">
        <f>IF(Tableau3453[[#This Row],[Date 
du paiement]]="",$D$4-Tableau3453[[#This Row],[Date
de la facture]],Tableau3453[[#This Row],[Date 
du paiement]]-Tableau3453[[#This Row],[Date
de la facture]])</f>
        <v>-20</v>
      </c>
      <c r="N678" s="327" t="str">
        <f>IF(Tableau3453[[#This Row],[Date 
du paiement]]="",IF(Tableau3453[[#This Row],[Jours]]&lt;30,Tableau3453[[#This Row],[Montant
de la facture
CHF]],""),"")</f>
        <v/>
      </c>
      <c r="O678" s="327" t="str">
        <f>IF(Tableau3453[[#This Row],[Date 
du paiement]]="",IF(Tableau3453[[#This Row],[Jours]]&gt;30,IF(Tableau3453[[#This Row],[Jours]]&lt;60,Tableau3453[[#This Row],[Montant
de la facture
CHF]],""),""),"")</f>
        <v/>
      </c>
      <c r="P678" s="327" t="str">
        <f>IF(Tableau3453[[#This Row],[Date 
du paiement]]="",IF(Tableau3453[[#This Row],[Jours]]&gt;60,Tableau3453[[#This Row],[Montant
de la facture
CHF]],""),"")</f>
        <v/>
      </c>
      <c r="Q678" s="333"/>
      <c r="R678" s="334" t="str">
        <f>Tableau3453[[#This Row],[Solde 
ouverte
fm]]</f>
        <v/>
      </c>
      <c r="S678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79" spans="1:19" hidden="1" x14ac:dyDescent="0.25">
      <c r="A679" s="268">
        <v>240950</v>
      </c>
      <c r="B679" s="239">
        <v>30</v>
      </c>
      <c r="C679" s="406" t="str">
        <f>IF(Tableau3453[[#This Row],[Date 
du paiement]]="",IF(Tableau3453[[#This Row],[Jours]]&gt;Tableau3453[[#This Row],[Conditions
pmt+]]+5,"oui",""),"")</f>
        <v/>
      </c>
      <c r="D679" s="262" t="s">
        <v>880</v>
      </c>
      <c r="E679" s="240">
        <v>45574</v>
      </c>
      <c r="F679" s="263">
        <v>2915.1</v>
      </c>
      <c r="G679" s="396" t="str">
        <f>IF(Tableau3453[[#This Row],[Date 
du paiement]]="",Tableau3453[[#This Row],[Montant
de la facture
CHF]],"")</f>
        <v/>
      </c>
      <c r="H679" s="243"/>
      <c r="I679" s="245">
        <v>45579</v>
      </c>
      <c r="J679" s="246">
        <v>45602</v>
      </c>
      <c r="K679" s="247" t="s">
        <v>58</v>
      </c>
      <c r="L679" s="264"/>
      <c r="M679" s="265">
        <f>IF(Tableau3453[[#This Row],[Date 
du paiement]]="",$D$4-Tableau3453[[#This Row],[Date
de la facture]],Tableau3453[[#This Row],[Date 
du paiement]]-Tableau3453[[#This Row],[Date
de la facture]])</f>
        <v>28</v>
      </c>
      <c r="N679" s="263" t="str">
        <f>IF(Tableau3453[[#This Row],[Date 
du paiement]]="",IF(Tableau3453[[#This Row],[Jours]]&lt;30,Tableau3453[[#This Row],[Montant
de la facture
CHF]],""),"")</f>
        <v/>
      </c>
      <c r="O679" s="263" t="str">
        <f>IF(Tableau3453[[#This Row],[Date 
du paiement]]="",IF(Tableau3453[[#This Row],[Jours]]&gt;30,IF(Tableau3453[[#This Row],[Jours]]&lt;60,Tableau3453[[#This Row],[Montant
de la facture
CHF]],""),""),"")</f>
        <v/>
      </c>
      <c r="P679" s="263" t="str">
        <f>IF(Tableau3453[[#This Row],[Date 
du paiement]]="",IF(Tableau3453[[#This Row],[Jours]]&gt;60,Tableau3453[[#This Row],[Montant
de la facture
CHF]],""),"")</f>
        <v/>
      </c>
      <c r="Q679" s="266"/>
      <c r="R679" s="267" t="str">
        <f>Tableau3453[[#This Row],[Solde 
ouverte
fm]]</f>
        <v/>
      </c>
      <c r="S67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0" spans="1:19" hidden="1" x14ac:dyDescent="0.25">
      <c r="A680" s="268">
        <v>240924</v>
      </c>
      <c r="B680" s="239">
        <v>30</v>
      </c>
      <c r="C680" s="352" t="str">
        <f>IF(Tableau3453[[#This Row],[Date 
du paiement]]="",IF(Tableau3453[[#This Row],[Jours]]&gt;Tableau3453[[#This Row],[Conditions
pmt+]]+5,"oui",""),"")</f>
        <v/>
      </c>
      <c r="D680" s="262" t="s">
        <v>1598</v>
      </c>
      <c r="E680" s="240">
        <v>45567</v>
      </c>
      <c r="F680" s="263">
        <v>758</v>
      </c>
      <c r="G680" s="396" t="str">
        <f>IF(Tableau3453[[#This Row],[Date 
du paiement]]="",Tableau3453[[#This Row],[Montant
de la facture
CHF]],"")</f>
        <v/>
      </c>
      <c r="H680" s="243"/>
      <c r="I680" s="245">
        <v>45568</v>
      </c>
      <c r="J680" s="246">
        <v>45600</v>
      </c>
      <c r="K680" s="247" t="s">
        <v>58</v>
      </c>
      <c r="L680" s="264"/>
      <c r="M680" s="265">
        <f>IF(Tableau3453[[#This Row],[Date 
du paiement]]="",$D$4-Tableau3453[[#This Row],[Date
de la facture]],Tableau3453[[#This Row],[Date 
du paiement]]-Tableau3453[[#This Row],[Date
de la facture]])</f>
        <v>33</v>
      </c>
      <c r="N680" s="263" t="str">
        <f>IF(Tableau3453[[#This Row],[Date 
du paiement]]="",IF(Tableau3453[[#This Row],[Jours]]&lt;30,Tableau3453[[#This Row],[Montant
de la facture
CHF]],""),"")</f>
        <v/>
      </c>
      <c r="O680" s="263" t="str">
        <f>IF(Tableau3453[[#This Row],[Date 
du paiement]]="",IF(Tableau3453[[#This Row],[Jours]]&gt;30,IF(Tableau3453[[#This Row],[Jours]]&lt;60,Tableau3453[[#This Row],[Montant
de la facture
CHF]],""),""),"")</f>
        <v/>
      </c>
      <c r="P680" s="263" t="str">
        <f>IF(Tableau3453[[#This Row],[Date 
du paiement]]="",IF(Tableau3453[[#This Row],[Jours]]&gt;60,Tableau3453[[#This Row],[Montant
de la facture
CHF]],""),"")</f>
        <v/>
      </c>
      <c r="Q680" s="266"/>
      <c r="R680" s="267" t="str">
        <f>Tableau3453[[#This Row],[Solde 
ouverte
fm]]</f>
        <v/>
      </c>
      <c r="S68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1" spans="1:19" hidden="1" x14ac:dyDescent="0.25">
      <c r="A681" s="268">
        <v>240826</v>
      </c>
      <c r="B681" s="239">
        <v>30</v>
      </c>
      <c r="C681" s="352" t="str">
        <f>IF(Tableau3453[[#This Row],[Date 
du paiement]]="",IF(Tableau3453[[#This Row],[Jours]]&gt;Tableau3453[[#This Row],[Conditions
pmt+]]+5,"oui",""),"")</f>
        <v/>
      </c>
      <c r="D681" s="262" t="s">
        <v>919</v>
      </c>
      <c r="E681" s="240">
        <v>45531</v>
      </c>
      <c r="F681" s="263">
        <v>1682.9</v>
      </c>
      <c r="G681" s="242" t="str">
        <f>IF(Tableau3453[[#This Row],[Date 
du paiement]]="",Tableau3453[[#This Row],[Montant
de la facture
CHF]],"")</f>
        <v/>
      </c>
      <c r="H681" s="243"/>
      <c r="I681" s="245">
        <v>45534</v>
      </c>
      <c r="J681" s="246">
        <v>45583</v>
      </c>
      <c r="K681" s="247" t="s">
        <v>58</v>
      </c>
      <c r="L681" s="264">
        <v>2</v>
      </c>
      <c r="M681" s="265">
        <f>IF(Tableau3453[[#This Row],[Date 
du paiement]]="",$D$4-Tableau3453[[#This Row],[Date
de la facture]],Tableau3453[[#This Row],[Date 
du paiement]]-Tableau3453[[#This Row],[Date
de la facture]])</f>
        <v>52</v>
      </c>
      <c r="N681" s="263" t="str">
        <f>IF(Tableau3453[[#This Row],[Date 
du paiement]]="",IF(Tableau3453[[#This Row],[Jours]]&lt;30,Tableau3453[[#This Row],[Montant
de la facture
CHF]],""),"")</f>
        <v/>
      </c>
      <c r="O681" s="263" t="str">
        <f>IF(Tableau3453[[#This Row],[Date 
du paiement]]="",IF(Tableau3453[[#This Row],[Jours]]&gt;30,IF(Tableau3453[[#This Row],[Jours]]&lt;60,Tableau3453[[#This Row],[Montant
de la facture
CHF]],""),""),"")</f>
        <v/>
      </c>
      <c r="P681" s="263" t="str">
        <f>IF(Tableau3453[[#This Row],[Date 
du paiement]]="",IF(Tableau3453[[#This Row],[Jours]]&gt;60,Tableau3453[[#This Row],[Montant
de la facture
CHF]],""),"")</f>
        <v/>
      </c>
      <c r="Q681" s="266"/>
      <c r="R681" s="267" t="str">
        <f>Tableau3453[[#This Row],[Solde 
ouverte
fm]]</f>
        <v/>
      </c>
      <c r="S68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2" spans="1:19" hidden="1" x14ac:dyDescent="0.25">
      <c r="A682" s="268">
        <v>240892</v>
      </c>
      <c r="B682" s="239">
        <v>60</v>
      </c>
      <c r="C682" s="495" t="str">
        <f>IF(Tableau3453[[#This Row],[Date 
du paiement]]="",IF(Tableau3453[[#This Row],[Jours]]&gt;Tableau3453[[#This Row],[Conditions
pmt+]]+5,"oui",""),"")</f>
        <v/>
      </c>
      <c r="D682" s="498" t="s">
        <v>865</v>
      </c>
      <c r="E682" s="240">
        <v>45553</v>
      </c>
      <c r="F682" s="499">
        <v>663</v>
      </c>
      <c r="G682" s="457" t="str">
        <f>IF(Tableau3453[[#This Row],[Date 
du paiement]]="",Tableau3453[[#This Row],[Montant
de la facture
CHF]],"")</f>
        <v/>
      </c>
      <c r="H682" s="243"/>
      <c r="I682" s="245">
        <v>45559</v>
      </c>
      <c r="J682" s="246">
        <v>45610</v>
      </c>
      <c r="K682" s="247" t="s">
        <v>58</v>
      </c>
      <c r="L682" s="264"/>
      <c r="M682" s="265">
        <f>IF(Tableau3453[[#This Row],[Date 
du paiement]]="",$D$4-Tableau3453[[#This Row],[Date
de la facture]],Tableau3453[[#This Row],[Date 
du paiement]]-Tableau3453[[#This Row],[Date
de la facture]])</f>
        <v>57</v>
      </c>
      <c r="N682" s="263" t="str">
        <f>IF(Tableau3453[[#This Row],[Date 
du paiement]]="",IF(Tableau3453[[#This Row],[Jours]]&lt;30,Tableau3453[[#This Row],[Montant
de la facture
CHF]],""),"")</f>
        <v/>
      </c>
      <c r="O682" s="263" t="str">
        <f>IF(Tableau3453[[#This Row],[Date 
du paiement]]="",IF(Tableau3453[[#This Row],[Jours]]&gt;30,IF(Tableau3453[[#This Row],[Jours]]&lt;60,Tableau3453[[#This Row],[Montant
de la facture
CHF]],""),""),"")</f>
        <v/>
      </c>
      <c r="P682" s="263" t="str">
        <f>IF(Tableau3453[[#This Row],[Date 
du paiement]]="",IF(Tableau3453[[#This Row],[Jours]]&gt;60,Tableau3453[[#This Row],[Montant
de la facture
CHF]],""),"")</f>
        <v/>
      </c>
      <c r="Q682" s="266"/>
      <c r="R682" s="267" t="str">
        <f>Tableau3453[[#This Row],[Solde 
ouverte
fm]]</f>
        <v/>
      </c>
      <c r="S68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3" spans="1:19" hidden="1" x14ac:dyDescent="0.25">
      <c r="A683" s="268">
        <v>241012</v>
      </c>
      <c r="B683" s="239">
        <v>30</v>
      </c>
      <c r="C683" s="406" t="str">
        <f>IF(Tableau3453[[#This Row],[Date 
du paiement]]="",IF(Tableau3453[[#This Row],[Jours]]&gt;Tableau3453[[#This Row],[Conditions
pmt+]]+5,"oui",""),"")</f>
        <v/>
      </c>
      <c r="D683" s="262" t="s">
        <v>1009</v>
      </c>
      <c r="E683" s="240">
        <v>45586</v>
      </c>
      <c r="F683" s="263">
        <v>49763.85</v>
      </c>
      <c r="G683" s="396" t="str">
        <f>IF(Tableau3453[[#This Row],[Date 
du paiement]]="",Tableau3453[[#This Row],[Montant
de la facture
CHF]],"")</f>
        <v/>
      </c>
      <c r="H683" s="243"/>
      <c r="I683" s="245">
        <v>45587</v>
      </c>
      <c r="J683" s="246">
        <v>45590</v>
      </c>
      <c r="K683" s="247" t="s">
        <v>58</v>
      </c>
      <c r="L683" s="264"/>
      <c r="M683" s="265">
        <f>IF(Tableau3453[[#This Row],[Date 
du paiement]]="",$D$4-Tableau3453[[#This Row],[Date
de la facture]],Tableau3453[[#This Row],[Date 
du paiement]]-Tableau3453[[#This Row],[Date
de la facture]])</f>
        <v>4</v>
      </c>
      <c r="N683" s="263" t="str">
        <f>IF(Tableau3453[[#This Row],[Date 
du paiement]]="",IF(Tableau3453[[#This Row],[Jours]]&lt;30,Tableau3453[[#This Row],[Montant
de la facture
CHF]],""),"")</f>
        <v/>
      </c>
      <c r="O683" s="263" t="str">
        <f>IF(Tableau3453[[#This Row],[Date 
du paiement]]="",IF(Tableau3453[[#This Row],[Jours]]&gt;30,IF(Tableau3453[[#This Row],[Jours]]&lt;60,Tableau3453[[#This Row],[Montant
de la facture
CHF]],""),""),"")</f>
        <v/>
      </c>
      <c r="P683" s="263" t="str">
        <f>IF(Tableau3453[[#This Row],[Date 
du paiement]]="",IF(Tableau3453[[#This Row],[Jours]]&gt;60,Tableau3453[[#This Row],[Montant
de la facture
CHF]],""),"")</f>
        <v/>
      </c>
      <c r="Q683" s="266"/>
      <c r="R683" s="267" t="str">
        <f>Tableau3453[[#This Row],[Solde 
ouverte
fm]]</f>
        <v/>
      </c>
      <c r="S68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4" spans="1:19" hidden="1" x14ac:dyDescent="0.25">
      <c r="A684" s="268">
        <v>240893</v>
      </c>
      <c r="B684" s="239">
        <v>60</v>
      </c>
      <c r="C684" s="352" t="str">
        <f>IF(Tableau3453[[#This Row],[Date 
du paiement]]="",IF(Tableau3453[[#This Row],[Jours]]&gt;Tableau3453[[#This Row],[Conditions
pmt+]]+5,"oui",""),"")</f>
        <v/>
      </c>
      <c r="D684" s="498" t="s">
        <v>865</v>
      </c>
      <c r="E684" s="240">
        <v>45553</v>
      </c>
      <c r="F684" s="499">
        <v>192.95</v>
      </c>
      <c r="G684" s="242" t="str">
        <f>IF(Tableau3453[[#This Row],[Date 
du paiement]]="",Tableau3453[[#This Row],[Montant
de la facture
CHF]],"")</f>
        <v/>
      </c>
      <c r="H684" s="243"/>
      <c r="I684" s="245">
        <v>45559</v>
      </c>
      <c r="J684" s="460">
        <v>45610</v>
      </c>
      <c r="K684" s="461" t="s">
        <v>58</v>
      </c>
      <c r="L684" s="264"/>
      <c r="M684" s="265">
        <f>IF(Tableau3453[[#This Row],[Date 
du paiement]]="",$D$4-Tableau3453[[#This Row],[Date
de la facture]],Tableau3453[[#This Row],[Date 
du paiement]]-Tableau3453[[#This Row],[Date
de la facture]])</f>
        <v>57</v>
      </c>
      <c r="N684" s="263" t="str">
        <f>IF(Tableau3453[[#This Row],[Date 
du paiement]]="",IF(Tableau3453[[#This Row],[Jours]]&lt;30,Tableau3453[[#This Row],[Montant
de la facture
CHF]],""),"")</f>
        <v/>
      </c>
      <c r="O684" s="263" t="str">
        <f>IF(Tableau3453[[#This Row],[Date 
du paiement]]="",IF(Tableau3453[[#This Row],[Jours]]&gt;30,IF(Tableau3453[[#This Row],[Jours]]&lt;60,Tableau3453[[#This Row],[Montant
de la facture
CHF]],""),""),"")</f>
        <v/>
      </c>
      <c r="P684" s="263" t="str">
        <f>IF(Tableau3453[[#This Row],[Date 
du paiement]]="",IF(Tableau3453[[#This Row],[Jours]]&gt;60,Tableau3453[[#This Row],[Montant
de la facture
CHF]],""),"")</f>
        <v/>
      </c>
      <c r="Q684" s="266"/>
      <c r="R684" s="267" t="str">
        <f>Tableau3453[[#This Row],[Solde 
ouverte
fm]]</f>
        <v/>
      </c>
      <c r="S68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5" spans="1:19" hidden="1" x14ac:dyDescent="0.25">
      <c r="A685" s="268">
        <v>240937</v>
      </c>
      <c r="B685" s="239">
        <v>0</v>
      </c>
      <c r="C685" s="406" t="str">
        <f>IF(Tableau3453[[#This Row],[Date 
du paiement]]="",IF(Tableau3453[[#This Row],[Jours]]&gt;Tableau3453[[#This Row],[Conditions
pmt+]]+5,"oui",""),"")</f>
        <v/>
      </c>
      <c r="D685" s="262" t="s">
        <v>1288</v>
      </c>
      <c r="E685" s="240">
        <v>45575</v>
      </c>
      <c r="F685" s="263">
        <v>-29.3</v>
      </c>
      <c r="G685" s="396" t="str">
        <f>IF(Tableau3453[[#This Row],[Date 
du paiement]]="",Tableau3453[[#This Row],[Montant
de la facture
CHF]],"")</f>
        <v/>
      </c>
      <c r="H685" s="243" t="s">
        <v>1750</v>
      </c>
      <c r="I685" s="245">
        <v>45579</v>
      </c>
      <c r="J685" s="246">
        <v>45602</v>
      </c>
      <c r="K685" s="247" t="s">
        <v>58</v>
      </c>
      <c r="L685" s="264"/>
      <c r="M685" s="265">
        <f>IF(Tableau3453[[#This Row],[Date 
du paiement]]="",$D$4-Tableau3453[[#This Row],[Date
de la facture]],Tableau3453[[#This Row],[Date 
du paiement]]-Tableau3453[[#This Row],[Date
de la facture]])</f>
        <v>27</v>
      </c>
      <c r="N685" s="263" t="str">
        <f>IF(Tableau3453[[#This Row],[Date 
du paiement]]="",IF(Tableau3453[[#This Row],[Jours]]&lt;30,Tableau3453[[#This Row],[Montant
de la facture
CHF]],""),"")</f>
        <v/>
      </c>
      <c r="O685" s="263" t="str">
        <f>IF(Tableau3453[[#This Row],[Date 
du paiement]]="",IF(Tableau3453[[#This Row],[Jours]]&gt;30,IF(Tableau3453[[#This Row],[Jours]]&lt;60,Tableau3453[[#This Row],[Montant
de la facture
CHF]],""),""),"")</f>
        <v/>
      </c>
      <c r="P685" s="263" t="str">
        <f>IF(Tableau3453[[#This Row],[Date 
du paiement]]="",IF(Tableau3453[[#This Row],[Jours]]&gt;60,Tableau3453[[#This Row],[Montant
de la facture
CHF]],""),"")</f>
        <v/>
      </c>
      <c r="Q685" s="266"/>
      <c r="R685" s="267" t="str">
        <f>Tableau3453[[#This Row],[Solde 
ouverte
fm]]</f>
        <v/>
      </c>
      <c r="S685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6" spans="1:19" hidden="1" x14ac:dyDescent="0.25">
      <c r="A686" s="268">
        <v>240952</v>
      </c>
      <c r="B686" s="239">
        <v>30</v>
      </c>
      <c r="C686" s="406" t="str">
        <f>IF(Tableau3453[[#This Row],[Date 
du paiement]]="",IF(Tableau3453[[#This Row],[Jours]]&gt;Tableau3453[[#This Row],[Conditions
pmt+]]+5,"oui",""),"")</f>
        <v/>
      </c>
      <c r="D686" s="262" t="s">
        <v>880</v>
      </c>
      <c r="E686" s="240">
        <v>45575</v>
      </c>
      <c r="F686" s="263">
        <v>766.05</v>
      </c>
      <c r="G686" s="396" t="str">
        <f>IF(Tableau3453[[#This Row],[Date 
du paiement]]="",Tableau3453[[#This Row],[Montant
de la facture
CHF]],"")</f>
        <v/>
      </c>
      <c r="H686" s="243"/>
      <c r="I686" s="245">
        <v>45579</v>
      </c>
      <c r="J686" s="246">
        <v>45602</v>
      </c>
      <c r="K686" s="247" t="s">
        <v>58</v>
      </c>
      <c r="L686" s="264"/>
      <c r="M686" s="265">
        <f>IF(Tableau3453[[#This Row],[Date 
du paiement]]="",$D$4-Tableau3453[[#This Row],[Date
de la facture]],Tableau3453[[#This Row],[Date 
du paiement]]-Tableau3453[[#This Row],[Date
de la facture]])</f>
        <v>27</v>
      </c>
      <c r="N686" s="263" t="str">
        <f>IF(Tableau3453[[#This Row],[Date 
du paiement]]="",IF(Tableau3453[[#This Row],[Jours]]&lt;30,Tableau3453[[#This Row],[Montant
de la facture
CHF]],""),"")</f>
        <v/>
      </c>
      <c r="O686" s="263" t="str">
        <f>IF(Tableau3453[[#This Row],[Date 
du paiement]]="",IF(Tableau3453[[#This Row],[Jours]]&gt;30,IF(Tableau3453[[#This Row],[Jours]]&lt;60,Tableau3453[[#This Row],[Montant
de la facture
CHF]],""),""),"")</f>
        <v/>
      </c>
      <c r="P686" s="263" t="str">
        <f>IF(Tableau3453[[#This Row],[Date 
du paiement]]="",IF(Tableau3453[[#This Row],[Jours]]&gt;60,Tableau3453[[#This Row],[Montant
de la facture
CHF]],""),"")</f>
        <v/>
      </c>
      <c r="Q686" s="266"/>
      <c r="R686" s="267" t="str">
        <f>Tableau3453[[#This Row],[Solde 
ouverte
fm]]</f>
        <v/>
      </c>
      <c r="S68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7" spans="1:19" hidden="1" x14ac:dyDescent="0.25">
      <c r="A687" s="268">
        <v>240894</v>
      </c>
      <c r="B687" s="239">
        <v>60</v>
      </c>
      <c r="C687" s="495" t="str">
        <f>IF(Tableau3453[[#This Row],[Date 
du paiement]]="",IF(Tableau3453[[#This Row],[Jours]]&gt;Tableau3453[[#This Row],[Conditions
pmt+]]+5,"oui",""),"")</f>
        <v/>
      </c>
      <c r="D687" s="498" t="s">
        <v>865</v>
      </c>
      <c r="E687" s="240">
        <v>45553</v>
      </c>
      <c r="F687" s="499">
        <v>192.95</v>
      </c>
      <c r="G687" s="457" t="str">
        <f>IF(Tableau3453[[#This Row],[Date 
du paiement]]="",Tableau3453[[#This Row],[Montant
de la facture
CHF]],"")</f>
        <v/>
      </c>
      <c r="H687" s="243"/>
      <c r="I687" s="245">
        <v>45559</v>
      </c>
      <c r="J687" s="460">
        <v>45610</v>
      </c>
      <c r="K687" s="461" t="s">
        <v>58</v>
      </c>
      <c r="L687" s="264"/>
      <c r="M687" s="265">
        <f>IF(Tableau3453[[#This Row],[Date 
du paiement]]="",$D$4-Tableau3453[[#This Row],[Date
de la facture]],Tableau3453[[#This Row],[Date 
du paiement]]-Tableau3453[[#This Row],[Date
de la facture]])</f>
        <v>57</v>
      </c>
      <c r="N687" s="263" t="str">
        <f>IF(Tableau3453[[#This Row],[Date 
du paiement]]="",IF(Tableau3453[[#This Row],[Jours]]&lt;30,Tableau3453[[#This Row],[Montant
de la facture
CHF]],""),"")</f>
        <v/>
      </c>
      <c r="O687" s="263" t="str">
        <f>IF(Tableau3453[[#This Row],[Date 
du paiement]]="",IF(Tableau3453[[#This Row],[Jours]]&gt;30,IF(Tableau3453[[#This Row],[Jours]]&lt;60,Tableau3453[[#This Row],[Montant
de la facture
CHF]],""),""),"")</f>
        <v/>
      </c>
      <c r="P687" s="263" t="str">
        <f>IF(Tableau3453[[#This Row],[Date 
du paiement]]="",IF(Tableau3453[[#This Row],[Jours]]&gt;60,Tableau3453[[#This Row],[Montant
de la facture
CHF]],""),"")</f>
        <v/>
      </c>
      <c r="Q687" s="266"/>
      <c r="R687" s="267" t="str">
        <f>Tableau3453[[#This Row],[Solde 
ouverte
fm]]</f>
        <v/>
      </c>
      <c r="S687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88" spans="1:19" x14ac:dyDescent="0.25">
      <c r="A688" s="268">
        <v>241051</v>
      </c>
      <c r="B688" s="239">
        <v>30</v>
      </c>
      <c r="C688" s="505" t="str">
        <f ca="1">IF(Tableau3453[[#This Row],[Date 
du paiement]]="",IF(Tableau3453[[#This Row],[Jours]]&gt;Tableau3453[[#This Row],[Conditions
pmt+]]+5,"oui",""),"")</f>
        <v/>
      </c>
      <c r="D688" s="467" t="s">
        <v>1771</v>
      </c>
      <c r="E688" s="240">
        <v>45602</v>
      </c>
      <c r="F688" s="468">
        <v>172.85</v>
      </c>
      <c r="G688" s="396">
        <f>IF(Tableau3453[[#This Row],[Date 
du paiement]]="",Tableau3453[[#This Row],[Montant
de la facture
CHF]],"")</f>
        <v>172.85</v>
      </c>
      <c r="H688" s="243"/>
      <c r="I688" s="459">
        <v>45603</v>
      </c>
      <c r="J688" s="246"/>
      <c r="K688" s="247"/>
      <c r="L688" s="264"/>
      <c r="M688" s="265">
        <f ca="1">IF(Tableau3453[[#This Row],[Date 
du paiement]]="",$D$4-Tableau3453[[#This Row],[Date
de la facture]],Tableau3453[[#This Row],[Date 
du paiement]]-Tableau3453[[#This Row],[Date
de la facture]])</f>
        <v>15.46942534721893</v>
      </c>
      <c r="N688" s="263">
        <f ca="1">IF(Tableau3453[[#This Row],[Date 
du paiement]]="",IF(Tableau3453[[#This Row],[Jours]]&lt;30,Tableau3453[[#This Row],[Montant
de la facture
CHF]],""),"")</f>
        <v>172.85</v>
      </c>
      <c r="O688" s="263" t="str">
        <f ca="1">IF(Tableau3453[[#This Row],[Date 
du paiement]]="",IF(Tableau3453[[#This Row],[Jours]]&gt;30,IF(Tableau3453[[#This Row],[Jours]]&lt;60,Tableau3453[[#This Row],[Montant
de la facture
CHF]],""),""),"")</f>
        <v/>
      </c>
      <c r="P688" s="263" t="str">
        <f ca="1">IF(Tableau3453[[#This Row],[Date 
du paiement]]="",IF(Tableau3453[[#This Row],[Jours]]&gt;60,Tableau3453[[#This Row],[Montant
de la facture
CHF]],""),"")</f>
        <v/>
      </c>
      <c r="Q688" s="266"/>
      <c r="R688" s="267">
        <f>Tableau3453[[#This Row],[Solde 
ouverte
fm]]</f>
        <v>172.85</v>
      </c>
      <c r="S688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89" spans="1:19" x14ac:dyDescent="0.25">
      <c r="A689" s="268">
        <v>240932</v>
      </c>
      <c r="B689" s="239" t="s">
        <v>860</v>
      </c>
      <c r="C689" s="505" t="str">
        <f ca="1">IF(Tableau3453[[#This Row],[Date 
du paiement]]="",IF(Tableau3453[[#This Row],[Jours]]&gt;Tableau3453[[#This Row],[Conditions
pmt+]]+5,"oui",""),"")</f>
        <v/>
      </c>
      <c r="D689" s="467" t="s">
        <v>1263</v>
      </c>
      <c r="E689" s="240">
        <v>45603</v>
      </c>
      <c r="F689" s="468">
        <v>106.9</v>
      </c>
      <c r="G689" s="396">
        <f>IF(Tableau3453[[#This Row],[Date 
du paiement]]="",Tableau3453[[#This Row],[Montant
de la facture
CHF]],"")</f>
        <v>106.9</v>
      </c>
      <c r="H689" s="243"/>
      <c r="I689" s="459">
        <v>45607</v>
      </c>
      <c r="J689" s="246"/>
      <c r="K689" s="247"/>
      <c r="L689" s="264"/>
      <c r="M689" s="265">
        <f ca="1">IF(Tableau3453[[#This Row],[Date 
du paiement]]="",$D$4-Tableau3453[[#This Row],[Date
de la facture]],Tableau3453[[#This Row],[Date 
du paiement]]-Tableau3453[[#This Row],[Date
de la facture]])</f>
        <v>14.46942534721893</v>
      </c>
      <c r="N689" s="263">
        <f ca="1">IF(Tableau3453[[#This Row],[Date 
du paiement]]="",IF(Tableau3453[[#This Row],[Jours]]&lt;30,Tableau3453[[#This Row],[Montant
de la facture
CHF]],""),"")</f>
        <v>106.9</v>
      </c>
      <c r="O689" s="263" t="str">
        <f ca="1">IF(Tableau3453[[#This Row],[Date 
du paiement]]="",IF(Tableau3453[[#This Row],[Jours]]&gt;30,IF(Tableau3453[[#This Row],[Jours]]&lt;60,Tableau3453[[#This Row],[Montant
de la facture
CHF]],""),""),"")</f>
        <v/>
      </c>
      <c r="P689" s="263" t="str">
        <f ca="1">IF(Tableau3453[[#This Row],[Date 
du paiement]]="",IF(Tableau3453[[#This Row],[Jours]]&gt;60,Tableau3453[[#This Row],[Montant
de la facture
CHF]],""),"")</f>
        <v/>
      </c>
      <c r="Q689" s="266"/>
      <c r="R689" s="267">
        <f>Tableau3453[[#This Row],[Solde 
ouverte
fm]]</f>
        <v>106.9</v>
      </c>
      <c r="S689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0" spans="1:19" hidden="1" x14ac:dyDescent="0.25">
      <c r="A690" s="268">
        <v>240957</v>
      </c>
      <c r="B690" s="239">
        <v>30</v>
      </c>
      <c r="C690" s="406" t="str">
        <f>IF(Tableau3453[[#This Row],[Date 
du paiement]]="",IF(Tableau3453[[#This Row],[Jours]]&gt;Tableau3453[[#This Row],[Conditions
pmt+]]+5,"oui",""),"")</f>
        <v/>
      </c>
      <c r="D690" s="262" t="s">
        <v>863</v>
      </c>
      <c r="E690" s="240">
        <v>45576</v>
      </c>
      <c r="F690" s="263">
        <v>363.8</v>
      </c>
      <c r="G690" s="396" t="str">
        <f>IF(Tableau3453[[#This Row],[Date 
du paiement]]="",Tableau3453[[#This Row],[Montant
de la facture
CHF]],"")</f>
        <v/>
      </c>
      <c r="H690" s="243"/>
      <c r="I690" s="245">
        <v>45580</v>
      </c>
      <c r="J690" s="246">
        <v>45603</v>
      </c>
      <c r="K690" s="247" t="s">
        <v>58</v>
      </c>
      <c r="L690" s="264"/>
      <c r="M690" s="265">
        <f>IF(Tableau3453[[#This Row],[Date 
du paiement]]="",$D$4-Tableau3453[[#This Row],[Date
de la facture]],Tableau3453[[#This Row],[Date 
du paiement]]-Tableau3453[[#This Row],[Date
de la facture]])</f>
        <v>27</v>
      </c>
      <c r="N690" s="263" t="str">
        <f>IF(Tableau3453[[#This Row],[Date 
du paiement]]="",IF(Tableau3453[[#This Row],[Jours]]&lt;30,Tableau3453[[#This Row],[Montant
de la facture
CHF]],""),"")</f>
        <v/>
      </c>
      <c r="O690" s="263" t="str">
        <f>IF(Tableau3453[[#This Row],[Date 
du paiement]]="",IF(Tableau3453[[#This Row],[Jours]]&gt;30,IF(Tableau3453[[#This Row],[Jours]]&lt;60,Tableau3453[[#This Row],[Montant
de la facture
CHF]],""),""),"")</f>
        <v/>
      </c>
      <c r="P690" s="263" t="str">
        <f>IF(Tableau3453[[#This Row],[Date 
du paiement]]="",IF(Tableau3453[[#This Row],[Jours]]&gt;60,Tableau3453[[#This Row],[Montant
de la facture
CHF]],""),"")</f>
        <v/>
      </c>
      <c r="Q690" s="266"/>
      <c r="R690" s="267" t="str">
        <f>Tableau3453[[#This Row],[Solde 
ouverte
fm]]</f>
        <v/>
      </c>
      <c r="S69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91" spans="1:19" hidden="1" x14ac:dyDescent="0.25">
      <c r="A691" s="268">
        <v>240931</v>
      </c>
      <c r="B691" s="239" t="s">
        <v>860</v>
      </c>
      <c r="C691" s="352" t="str">
        <f>IF(Tableau3453[[#This Row],[Date 
du paiement]]="",IF(Tableau3453[[#This Row],[Jours]]&gt;Tableau3453[[#This Row],[Conditions
pmt+]]+5,"oui",""),"")</f>
        <v/>
      </c>
      <c r="D691" s="262" t="s">
        <v>927</v>
      </c>
      <c r="E691" s="240">
        <v>45565</v>
      </c>
      <c r="F691" s="263">
        <v>86.45</v>
      </c>
      <c r="G691" s="396" t="str">
        <f>IF(Tableau3453[[#This Row],[Date 
du paiement]]="",Tableau3453[[#This Row],[Montant
de la facture
CHF]],"")</f>
        <v/>
      </c>
      <c r="H691" s="243"/>
      <c r="I691" s="245">
        <v>45568</v>
      </c>
      <c r="J691" s="246">
        <v>45588</v>
      </c>
      <c r="K691" s="247" t="s">
        <v>58</v>
      </c>
      <c r="L691" s="264"/>
      <c r="M691" s="265">
        <f>IF(Tableau3453[[#This Row],[Date 
du paiement]]="",$D$4-Tableau3453[[#This Row],[Date
de la facture]],Tableau3453[[#This Row],[Date 
du paiement]]-Tableau3453[[#This Row],[Date
de la facture]])</f>
        <v>23</v>
      </c>
      <c r="N691" s="263" t="str">
        <f>IF(Tableau3453[[#This Row],[Date 
du paiement]]="",IF(Tableau3453[[#This Row],[Jours]]&lt;30,Tableau3453[[#This Row],[Montant
de la facture
CHF]],""),"")</f>
        <v/>
      </c>
      <c r="O691" s="263" t="str">
        <f>IF(Tableau3453[[#This Row],[Date 
du paiement]]="",IF(Tableau3453[[#This Row],[Jours]]&gt;30,IF(Tableau3453[[#This Row],[Jours]]&lt;60,Tableau3453[[#This Row],[Montant
de la facture
CHF]],""),""),"")</f>
        <v/>
      </c>
      <c r="P691" s="263" t="str">
        <f>IF(Tableau3453[[#This Row],[Date 
du paiement]]="",IF(Tableau3453[[#This Row],[Jours]]&gt;60,Tableau3453[[#This Row],[Montant
de la facture
CHF]],""),"")</f>
        <v/>
      </c>
      <c r="Q691" s="266"/>
      <c r="R691" s="267" t="str">
        <f>Tableau3453[[#This Row],[Solde 
ouverte
fm]]</f>
        <v/>
      </c>
      <c r="S69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92" spans="1:19" x14ac:dyDescent="0.25">
      <c r="A692" s="473">
        <v>241018</v>
      </c>
      <c r="B692" s="454">
        <v>30</v>
      </c>
      <c r="C692" s="495" t="str">
        <f ca="1">IF(Tableau3453[[#This Row],[Date 
du paiement]]="",IF(Tableau3453[[#This Row],[Jours]]&gt;Tableau3453[[#This Row],[Conditions
pmt+]]+5,"oui",""),"")</f>
        <v/>
      </c>
      <c r="D692" s="467" t="s">
        <v>880</v>
      </c>
      <c r="E692" s="455">
        <v>45593</v>
      </c>
      <c r="F692" s="468">
        <v>3147.4</v>
      </c>
      <c r="G692" s="457">
        <f>IF(Tableau3453[[#This Row],[Date 
du paiement]]="",Tableau3453[[#This Row],[Montant
de la facture
CHF]],"")</f>
        <v>3147.4</v>
      </c>
      <c r="H692" s="458"/>
      <c r="I692" s="459">
        <v>45593</v>
      </c>
      <c r="J692" s="460"/>
      <c r="K692" s="461"/>
      <c r="L692" s="469"/>
      <c r="M692" s="470">
        <f ca="1">IF(Tableau3453[[#This Row],[Date 
du paiement]]="",$D$4-Tableau3453[[#This Row],[Date
de la facture]],Tableau3453[[#This Row],[Date 
du paiement]]-Tableau3453[[#This Row],[Date
de la facture]])</f>
        <v>24.46942534721893</v>
      </c>
      <c r="N692" s="468">
        <f ca="1">IF(Tableau3453[[#This Row],[Date 
du paiement]]="",IF(Tableau3453[[#This Row],[Jours]]&lt;30,Tableau3453[[#This Row],[Montant
de la facture
CHF]],""),"")</f>
        <v>3147.4</v>
      </c>
      <c r="O692" s="468" t="str">
        <f ca="1">IF(Tableau3453[[#This Row],[Date 
du paiement]]="",IF(Tableau3453[[#This Row],[Jours]]&gt;30,IF(Tableau3453[[#This Row],[Jours]]&lt;60,Tableau3453[[#This Row],[Montant
de la facture
CHF]],""),""),"")</f>
        <v/>
      </c>
      <c r="P692" s="468" t="str">
        <f ca="1">IF(Tableau3453[[#This Row],[Date 
du paiement]]="",IF(Tableau3453[[#This Row],[Jours]]&gt;60,Tableau3453[[#This Row],[Montant
de la facture
CHF]],""),"")</f>
        <v/>
      </c>
      <c r="Q692" s="471"/>
      <c r="R692" s="472">
        <f>Tableau3453[[#This Row],[Solde 
ouverte
fm]]</f>
        <v>3147.4</v>
      </c>
      <c r="S692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3" spans="1:19" x14ac:dyDescent="0.25">
      <c r="A693" s="268">
        <v>241033</v>
      </c>
      <c r="B693" s="239">
        <v>30</v>
      </c>
      <c r="C693" s="505" t="str">
        <f ca="1">IF(Tableau3453[[#This Row],[Date 
du paiement]]="",IF(Tableau3453[[#This Row],[Jours]]&gt;Tableau3453[[#This Row],[Conditions
pmt+]]+5,"oui",""),"")</f>
        <v/>
      </c>
      <c r="D693" s="467" t="s">
        <v>880</v>
      </c>
      <c r="E693" s="240">
        <v>45596</v>
      </c>
      <c r="F693" s="468">
        <v>301.2</v>
      </c>
      <c r="G693" s="396">
        <f>IF(Tableau3453[[#This Row],[Date 
du paiement]]="",Tableau3453[[#This Row],[Montant
de la facture
CHF]],"")</f>
        <v>301.2</v>
      </c>
      <c r="H693" s="243"/>
      <c r="I693" s="245">
        <v>45597</v>
      </c>
      <c r="J693" s="246"/>
      <c r="K693" s="247"/>
      <c r="L693" s="264"/>
      <c r="M693" s="265">
        <f ca="1">IF(Tableau3453[[#This Row],[Date 
du paiement]]="",$D$4-Tableau3453[[#This Row],[Date
de la facture]],Tableau3453[[#This Row],[Date 
du paiement]]-Tableau3453[[#This Row],[Date
de la facture]])</f>
        <v>21.46942534721893</v>
      </c>
      <c r="N693" s="263">
        <f ca="1">IF(Tableau3453[[#This Row],[Date 
du paiement]]="",IF(Tableau3453[[#This Row],[Jours]]&lt;30,Tableau3453[[#This Row],[Montant
de la facture
CHF]],""),"")</f>
        <v>301.2</v>
      </c>
      <c r="O693" s="263" t="str">
        <f ca="1">IF(Tableau3453[[#This Row],[Date 
du paiement]]="",IF(Tableau3453[[#This Row],[Jours]]&gt;30,IF(Tableau3453[[#This Row],[Jours]]&lt;60,Tableau3453[[#This Row],[Montant
de la facture
CHF]],""),""),"")</f>
        <v/>
      </c>
      <c r="P693" s="263" t="str">
        <f ca="1">IF(Tableau3453[[#This Row],[Date 
du paiement]]="",IF(Tableau3453[[#This Row],[Jours]]&gt;60,Tableau3453[[#This Row],[Montant
de la facture
CHF]],""),"")</f>
        <v/>
      </c>
      <c r="Q693" s="266"/>
      <c r="R693" s="267">
        <f>Tableau3453[[#This Row],[Solde 
ouverte
fm]]</f>
        <v>301.2</v>
      </c>
      <c r="S693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4" spans="1:19" x14ac:dyDescent="0.25">
      <c r="A694" s="268">
        <v>241043</v>
      </c>
      <c r="B694" s="239">
        <v>30</v>
      </c>
      <c r="C694" s="505" t="str">
        <f ca="1">IF(Tableau3453[[#This Row],[Date 
du paiement]]="",IF(Tableau3453[[#This Row],[Jours]]&gt;Tableau3453[[#This Row],[Conditions
pmt+]]+5,"oui",""),"")</f>
        <v/>
      </c>
      <c r="D694" s="467" t="s">
        <v>880</v>
      </c>
      <c r="E694" s="240">
        <v>45601</v>
      </c>
      <c r="F694" s="468">
        <v>160.55000000000001</v>
      </c>
      <c r="G694" s="396">
        <f>IF(Tableau3453[[#This Row],[Date 
du paiement]]="",Tableau3453[[#This Row],[Montant
de la facture
CHF]],"")</f>
        <v>160.55000000000001</v>
      </c>
      <c r="H694" s="243"/>
      <c r="I694" s="245">
        <v>45603</v>
      </c>
      <c r="J694" s="246"/>
      <c r="K694" s="247"/>
      <c r="L694" s="264"/>
      <c r="M694" s="265">
        <f ca="1">IF(Tableau3453[[#This Row],[Date 
du paiement]]="",$D$4-Tableau3453[[#This Row],[Date
de la facture]],Tableau3453[[#This Row],[Date 
du paiement]]-Tableau3453[[#This Row],[Date
de la facture]])</f>
        <v>16.46942534721893</v>
      </c>
      <c r="N694" s="263">
        <f ca="1">IF(Tableau3453[[#This Row],[Date 
du paiement]]="",IF(Tableau3453[[#This Row],[Jours]]&lt;30,Tableau3453[[#This Row],[Montant
de la facture
CHF]],""),"")</f>
        <v>160.55000000000001</v>
      </c>
      <c r="O694" s="263" t="str">
        <f ca="1">IF(Tableau3453[[#This Row],[Date 
du paiement]]="",IF(Tableau3453[[#This Row],[Jours]]&gt;30,IF(Tableau3453[[#This Row],[Jours]]&lt;60,Tableau3453[[#This Row],[Montant
de la facture
CHF]],""),""),"")</f>
        <v/>
      </c>
      <c r="P694" s="263" t="str">
        <f ca="1">IF(Tableau3453[[#This Row],[Date 
du paiement]]="",IF(Tableau3453[[#This Row],[Jours]]&gt;60,Tableau3453[[#This Row],[Montant
de la facture
CHF]],""),"")</f>
        <v/>
      </c>
      <c r="Q694" s="266"/>
      <c r="R694" s="267">
        <f>Tableau3453[[#This Row],[Solde 
ouverte
fm]]</f>
        <v>160.55000000000001</v>
      </c>
      <c r="S694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5" spans="1:19" x14ac:dyDescent="0.25">
      <c r="A695" s="268">
        <v>241046</v>
      </c>
      <c r="B695" s="239">
        <v>30</v>
      </c>
      <c r="C695" s="505" t="str">
        <f ca="1">IF(Tableau3453[[#This Row],[Date 
du paiement]]="",IF(Tableau3453[[#This Row],[Jours]]&gt;Tableau3453[[#This Row],[Conditions
pmt+]]+5,"oui",""),"")</f>
        <v/>
      </c>
      <c r="D695" s="467" t="s">
        <v>880</v>
      </c>
      <c r="E695" s="240">
        <v>45602</v>
      </c>
      <c r="F695" s="468">
        <v>428.55</v>
      </c>
      <c r="G695" s="501">
        <f>IF(Tableau3453[[#This Row],[Date 
du paiement]]="",Tableau3453[[#This Row],[Montant
de la facture
CHF]],"")</f>
        <v>428.55</v>
      </c>
      <c r="H695" s="243"/>
      <c r="I695" s="245">
        <v>45603</v>
      </c>
      <c r="J695" s="246"/>
      <c r="K695" s="247"/>
      <c r="L695" s="264"/>
      <c r="M695" s="265">
        <f ca="1">IF(Tableau3453[[#This Row],[Date 
du paiement]]="",$D$4-Tableau3453[[#This Row],[Date
de la facture]],Tableau3453[[#This Row],[Date 
du paiement]]-Tableau3453[[#This Row],[Date
de la facture]])</f>
        <v>15.46942534721893</v>
      </c>
      <c r="N695" s="263">
        <f ca="1">IF(Tableau3453[[#This Row],[Date 
du paiement]]="",IF(Tableau3453[[#This Row],[Jours]]&lt;30,Tableau3453[[#This Row],[Montant
de la facture
CHF]],""),"")</f>
        <v>428.55</v>
      </c>
      <c r="O695" s="263" t="str">
        <f ca="1">IF(Tableau3453[[#This Row],[Date 
du paiement]]="",IF(Tableau3453[[#This Row],[Jours]]&gt;30,IF(Tableau3453[[#This Row],[Jours]]&lt;60,Tableau3453[[#This Row],[Montant
de la facture
CHF]],""),""),"")</f>
        <v/>
      </c>
      <c r="P695" s="263" t="str">
        <f ca="1">IF(Tableau3453[[#This Row],[Date 
du paiement]]="",IF(Tableau3453[[#This Row],[Jours]]&gt;60,Tableau3453[[#This Row],[Montant
de la facture
CHF]],""),"")</f>
        <v/>
      </c>
      <c r="Q695" s="266"/>
      <c r="R695" s="267">
        <f>Tableau3453[[#This Row],[Solde 
ouverte
fm]]</f>
        <v>428.55</v>
      </c>
      <c r="S69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6" spans="1:19" x14ac:dyDescent="0.25">
      <c r="A696" s="268">
        <v>241055</v>
      </c>
      <c r="B696" s="239">
        <v>30</v>
      </c>
      <c r="C696" s="505" t="str">
        <f ca="1">IF(Tableau3453[[#This Row],[Date 
du paiement]]="",IF(Tableau3453[[#This Row],[Jours]]&gt;Tableau3453[[#This Row],[Conditions
pmt+]]+5,"oui",""),"")</f>
        <v/>
      </c>
      <c r="D696" s="262" t="s">
        <v>880</v>
      </c>
      <c r="E696" s="240">
        <v>45607</v>
      </c>
      <c r="F696" s="263">
        <v>3245.45</v>
      </c>
      <c r="G696" s="396">
        <f>IF(Tableau3453[[#This Row],[Date 
du paiement]]="",Tableau3453[[#This Row],[Montant
de la facture
CHF]],"")</f>
        <v>3245.45</v>
      </c>
      <c r="H696" s="243"/>
      <c r="I696" s="245">
        <v>45608</v>
      </c>
      <c r="J696" s="246"/>
      <c r="K696" s="247"/>
      <c r="L696" s="264"/>
      <c r="M696" s="265">
        <f ca="1">IF(Tableau3453[[#This Row],[Date 
du paiement]]="",$D$4-Tableau3453[[#This Row],[Date
de la facture]],Tableau3453[[#This Row],[Date 
du paiement]]-Tableau3453[[#This Row],[Date
de la facture]])</f>
        <v>10.46942534721893</v>
      </c>
      <c r="N696" s="263">
        <f ca="1">IF(Tableau3453[[#This Row],[Date 
du paiement]]="",IF(Tableau3453[[#This Row],[Jours]]&lt;30,Tableau3453[[#This Row],[Montant
de la facture
CHF]],""),"")</f>
        <v>3245.45</v>
      </c>
      <c r="O696" s="263" t="str">
        <f ca="1">IF(Tableau3453[[#This Row],[Date 
du paiement]]="",IF(Tableau3453[[#This Row],[Jours]]&gt;30,IF(Tableau3453[[#This Row],[Jours]]&lt;60,Tableau3453[[#This Row],[Montant
de la facture
CHF]],""),""),"")</f>
        <v/>
      </c>
      <c r="P696" s="263" t="str">
        <f ca="1">IF(Tableau3453[[#This Row],[Date 
du paiement]]="",IF(Tableau3453[[#This Row],[Jours]]&gt;60,Tableau3453[[#This Row],[Montant
de la facture
CHF]],""),"")</f>
        <v/>
      </c>
      <c r="Q696" s="266"/>
      <c r="R696" s="267">
        <f>Tableau3453[[#This Row],[Solde 
ouverte
fm]]</f>
        <v>3245.45</v>
      </c>
      <c r="S696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7" spans="1:19" hidden="1" x14ac:dyDescent="0.25">
      <c r="A697" s="380">
        <v>240945</v>
      </c>
      <c r="B697" s="408">
        <v>30</v>
      </c>
      <c r="C697" s="432" t="str">
        <f>IF(Tableau3453[[#This Row],[Date 
du paiement]]="",IF(Tableau3453[[#This Row],[Jours]]&gt;Tableau3453[[#This Row],[Conditions
pmt+]]+5,"oui",""),"")</f>
        <v/>
      </c>
      <c r="D697" s="382" t="s">
        <v>1044</v>
      </c>
      <c r="E697" s="383">
        <v>45575</v>
      </c>
      <c r="F697" s="384">
        <v>2136.5500000000002</v>
      </c>
      <c r="G697" s="431" t="str">
        <f>IF(Tableau3453[[#This Row],[Date 
du paiement]]="",Tableau3453[[#This Row],[Montant
de la facture
CHF]],"")</f>
        <v/>
      </c>
      <c r="H697" s="411"/>
      <c r="I697" s="433">
        <v>45580</v>
      </c>
      <c r="J697" s="387">
        <v>45573</v>
      </c>
      <c r="K697" s="388" t="s">
        <v>58</v>
      </c>
      <c r="L697" s="389"/>
      <c r="M697" s="390">
        <f>IF(Tableau3453[[#This Row],[Date 
du paiement]]="",$D$4-Tableau3453[[#This Row],[Date
de la facture]],Tableau3453[[#This Row],[Date 
du paiement]]-Tableau3453[[#This Row],[Date
de la facture]])</f>
        <v>-2</v>
      </c>
      <c r="N697" s="384" t="str">
        <f>IF(Tableau3453[[#This Row],[Date 
du paiement]]="",IF(Tableau3453[[#This Row],[Jours]]&lt;30,Tableau3453[[#This Row],[Montant
de la facture
CHF]],""),"")</f>
        <v/>
      </c>
      <c r="O697" s="384" t="str">
        <f>IF(Tableau3453[[#This Row],[Date 
du paiement]]="",IF(Tableau3453[[#This Row],[Jours]]&gt;30,IF(Tableau3453[[#This Row],[Jours]]&lt;60,Tableau3453[[#This Row],[Montant
de la facture
CHF]],""),""),"")</f>
        <v/>
      </c>
      <c r="P697" s="384" t="str">
        <f>IF(Tableau3453[[#This Row],[Date 
du paiement]]="",IF(Tableau3453[[#This Row],[Jours]]&gt;60,Tableau3453[[#This Row],[Montant
de la facture
CHF]],""),"")</f>
        <v/>
      </c>
      <c r="Q697" s="416"/>
      <c r="R697" s="391" t="str">
        <f>Tableau3453[[#This Row],[Solde 
ouverte
fm]]</f>
        <v/>
      </c>
      <c r="S697" s="384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698" spans="1:19" x14ac:dyDescent="0.25">
      <c r="A698" s="473">
        <v>241091</v>
      </c>
      <c r="B698" s="454">
        <v>30</v>
      </c>
      <c r="C698" s="505" t="str">
        <f ca="1">IF(Tableau3453[[#This Row],[Date 
du paiement]]="",IF(Tableau3453[[#This Row],[Jours]]&gt;Tableau3453[[#This Row],[Conditions
pmt+]]+5,"oui",""),"")</f>
        <v/>
      </c>
      <c r="D698" s="467" t="s">
        <v>880</v>
      </c>
      <c r="E698" s="455">
        <v>45616</v>
      </c>
      <c r="F698" s="468">
        <v>1435.85</v>
      </c>
      <c r="G698" s="501">
        <f>IF(Tableau3453[[#This Row],[Date 
du paiement]]="",Tableau3453[[#This Row],[Montant
de la facture
CHF]],"")</f>
        <v>1435.85</v>
      </c>
      <c r="H698" s="458"/>
      <c r="I698" s="459">
        <v>45617</v>
      </c>
      <c r="J698" s="460"/>
      <c r="K698" s="461"/>
      <c r="L698" s="469"/>
      <c r="M698" s="470">
        <f ca="1">IF(Tableau3453[[#This Row],[Date 
du paiement]]="",$D$4-Tableau3453[[#This Row],[Date
de la facture]],Tableau3453[[#This Row],[Date 
du paiement]]-Tableau3453[[#This Row],[Date
de la facture]])</f>
        <v>1.4694253472189303</v>
      </c>
      <c r="N698" s="468">
        <f ca="1">IF(Tableau3453[[#This Row],[Date 
du paiement]]="",IF(Tableau3453[[#This Row],[Jours]]&lt;30,Tableau3453[[#This Row],[Montant
de la facture
CHF]],""),"")</f>
        <v>1435.85</v>
      </c>
      <c r="O698" s="468" t="str">
        <f ca="1">IF(Tableau3453[[#This Row],[Date 
du paiement]]="",IF(Tableau3453[[#This Row],[Jours]]&gt;30,IF(Tableau3453[[#This Row],[Jours]]&lt;60,Tableau3453[[#This Row],[Montant
de la facture
CHF]],""),""),"")</f>
        <v/>
      </c>
      <c r="P698" s="468" t="str">
        <f ca="1">IF(Tableau3453[[#This Row],[Date 
du paiement]]="",IF(Tableau3453[[#This Row],[Jours]]&gt;60,Tableau3453[[#This Row],[Montant
de la facture
CHF]],""),"")</f>
        <v/>
      </c>
      <c r="Q698" s="471"/>
      <c r="R698" s="472">
        <f>Tableau3453[[#This Row],[Solde 
ouverte
fm]]</f>
        <v>1435.85</v>
      </c>
      <c r="S698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699" spans="1:19" x14ac:dyDescent="0.25">
      <c r="A699" s="268">
        <v>240825</v>
      </c>
      <c r="B699" s="239" t="s">
        <v>857</v>
      </c>
      <c r="C699" s="495" t="str">
        <f ca="1">IF(Tableau3453[[#This Row],[Date 
du paiement]]="",IF(Tableau3453[[#This Row],[Jours]]&gt;Tableau3453[[#This Row],[Conditions
pmt+]]+5,"oui",""),"")</f>
        <v>oui</v>
      </c>
      <c r="D699" s="467" t="s">
        <v>865</v>
      </c>
      <c r="E699" s="240">
        <v>45547</v>
      </c>
      <c r="F699" s="468">
        <v>1139.2</v>
      </c>
      <c r="G699" s="457">
        <f>IF(Tableau3453[[#This Row],[Date 
du paiement]]="",Tableau3453[[#This Row],[Montant
de la facture
CHF]],"")</f>
        <v>1139.2</v>
      </c>
      <c r="H699" s="243"/>
      <c r="I699" s="245">
        <v>45547</v>
      </c>
      <c r="J699" s="246"/>
      <c r="K699" s="247"/>
      <c r="L699" s="264">
        <v>1</v>
      </c>
      <c r="M699" s="265">
        <f ca="1">IF(Tableau3453[[#This Row],[Date 
du paiement]]="",$D$4-Tableau3453[[#This Row],[Date
de la facture]],Tableau3453[[#This Row],[Date 
du paiement]]-Tableau3453[[#This Row],[Date
de la facture]])</f>
        <v>70.46942534721893</v>
      </c>
      <c r="N699" s="263" t="str">
        <f ca="1">IF(Tableau3453[[#This Row],[Date 
du paiement]]="",IF(Tableau3453[[#This Row],[Jours]]&lt;30,Tableau3453[[#This Row],[Montant
de la facture
CHF]],""),"")</f>
        <v/>
      </c>
      <c r="O699" s="263" t="str">
        <f ca="1">IF(Tableau3453[[#This Row],[Date 
du paiement]]="",IF(Tableau3453[[#This Row],[Jours]]&gt;30,IF(Tableau3453[[#This Row],[Jours]]&lt;60,Tableau3453[[#This Row],[Montant
de la facture
CHF]],""),""),"")</f>
        <v/>
      </c>
      <c r="P699" s="263">
        <f ca="1">IF(Tableau3453[[#This Row],[Date 
du paiement]]="",IF(Tableau3453[[#This Row],[Jours]]&gt;60,Tableau3453[[#This Row],[Montant
de la facture
CHF]],""),"")</f>
        <v>1139.2</v>
      </c>
      <c r="Q699" s="266"/>
      <c r="R699" s="267">
        <f>Tableau3453[[#This Row],[Solde 
ouverte
fm]]</f>
        <v>1139.2</v>
      </c>
      <c r="S699" s="263">
        <f ca="1">IF(Tableau3453[[#This Row],[Date 
du paiement]]="",IF(Tableau3453[[#This Row],[Jours]]-Tableau3453[[#This Row],[Conditions
pmt+]]&gt;0,Tableau3453[[#This Row],[Montant
de la facture
CHF]],"0.00"),"0.00")</f>
        <v>1139.2</v>
      </c>
    </row>
    <row r="700" spans="1:19" x14ac:dyDescent="0.25">
      <c r="A700" s="268">
        <v>240915</v>
      </c>
      <c r="B700" s="239">
        <v>60</v>
      </c>
      <c r="C700" s="495" t="str">
        <f ca="1">IF(Tableau3453[[#This Row],[Date 
du paiement]]="",IF(Tableau3453[[#This Row],[Jours]]&gt;Tableau3453[[#This Row],[Conditions
pmt+]]+5,"oui",""),"")</f>
        <v/>
      </c>
      <c r="D700" s="498" t="s">
        <v>865</v>
      </c>
      <c r="E700" s="240">
        <v>45561</v>
      </c>
      <c r="F700" s="502">
        <v>1051.5999999999999</v>
      </c>
      <c r="G700" s="501">
        <f>IF(Tableau3453[[#This Row],[Date 
du paiement]]="",Tableau3453[[#This Row],[Montant
de la facture
CHF]],"")</f>
        <v>1051.5999999999999</v>
      </c>
      <c r="H700" s="243"/>
      <c r="I700" s="245">
        <v>45561</v>
      </c>
      <c r="J700" s="246"/>
      <c r="K700" s="247"/>
      <c r="L700" s="469"/>
      <c r="M700" s="265">
        <f ca="1">IF(Tableau3453[[#This Row],[Date 
du paiement]]="",$D$4-Tableau3453[[#This Row],[Date
de la facture]],Tableau3453[[#This Row],[Date 
du paiement]]-Tableau3453[[#This Row],[Date
de la facture]])</f>
        <v>56.46942534721893</v>
      </c>
      <c r="N700" s="263" t="str">
        <f ca="1">IF(Tableau3453[[#This Row],[Date 
du paiement]]="",IF(Tableau3453[[#This Row],[Jours]]&lt;30,Tableau3453[[#This Row],[Montant
de la facture
CHF]],""),"")</f>
        <v/>
      </c>
      <c r="O700" s="263">
        <f ca="1">IF(Tableau3453[[#This Row],[Date 
du paiement]]="",IF(Tableau3453[[#This Row],[Jours]]&gt;30,IF(Tableau3453[[#This Row],[Jours]]&lt;60,Tableau3453[[#This Row],[Montant
de la facture
CHF]],""),""),"")</f>
        <v>1051.5999999999999</v>
      </c>
      <c r="P700" s="263" t="str">
        <f ca="1">IF(Tableau3453[[#This Row],[Date 
du paiement]]="",IF(Tableau3453[[#This Row],[Jours]]&gt;60,Tableau3453[[#This Row],[Montant
de la facture
CHF]],""),"")</f>
        <v/>
      </c>
      <c r="Q700" s="266"/>
      <c r="R700" s="267">
        <f>Tableau3453[[#This Row],[Solde 
ouverte
fm]]</f>
        <v>1051.5999999999999</v>
      </c>
      <c r="S700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01" spans="1:19" x14ac:dyDescent="0.25">
      <c r="A701" s="268">
        <v>240921</v>
      </c>
      <c r="B701" s="239">
        <v>60</v>
      </c>
      <c r="C701" s="495" t="str">
        <f ca="1">IF(Tableau3453[[#This Row],[Date 
du paiement]]="",IF(Tableau3453[[#This Row],[Jours]]&gt;Tableau3453[[#This Row],[Conditions
pmt+]]+5,"oui",""),"")</f>
        <v/>
      </c>
      <c r="D701" s="498" t="s">
        <v>865</v>
      </c>
      <c r="E701" s="240">
        <v>45561</v>
      </c>
      <c r="F701" s="502">
        <v>578.9</v>
      </c>
      <c r="G701" s="501">
        <f>IF(Tableau3453[[#This Row],[Date 
du paiement]]="",Tableau3453[[#This Row],[Montant
de la facture
CHF]],"")</f>
        <v>578.9</v>
      </c>
      <c r="H701" s="243"/>
      <c r="I701" s="245">
        <v>45561</v>
      </c>
      <c r="J701" s="246"/>
      <c r="K701" s="247"/>
      <c r="L701" s="469"/>
      <c r="M701" s="265">
        <f ca="1">IF(Tableau3453[[#This Row],[Date 
du paiement]]="",$D$4-Tableau3453[[#This Row],[Date
de la facture]],Tableau3453[[#This Row],[Date 
du paiement]]-Tableau3453[[#This Row],[Date
de la facture]])</f>
        <v>56.46942534721893</v>
      </c>
      <c r="N701" s="263" t="str">
        <f ca="1">IF(Tableau3453[[#This Row],[Date 
du paiement]]="",IF(Tableau3453[[#This Row],[Jours]]&lt;30,Tableau3453[[#This Row],[Montant
de la facture
CHF]],""),"")</f>
        <v/>
      </c>
      <c r="O701" s="263">
        <f ca="1">IF(Tableau3453[[#This Row],[Date 
du paiement]]="",IF(Tableau3453[[#This Row],[Jours]]&gt;30,IF(Tableau3453[[#This Row],[Jours]]&lt;60,Tableau3453[[#This Row],[Montant
de la facture
CHF]],""),""),"")</f>
        <v>578.9</v>
      </c>
      <c r="P701" s="263" t="str">
        <f ca="1">IF(Tableau3453[[#This Row],[Date 
du paiement]]="",IF(Tableau3453[[#This Row],[Jours]]&gt;60,Tableau3453[[#This Row],[Montant
de la facture
CHF]],""),"")</f>
        <v/>
      </c>
      <c r="Q701" s="266"/>
      <c r="R701" s="267">
        <f>Tableau3453[[#This Row],[Solde 
ouverte
fm]]</f>
        <v>578.9</v>
      </c>
      <c r="S701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02" spans="1:19" x14ac:dyDescent="0.25">
      <c r="A702" s="268">
        <v>240890</v>
      </c>
      <c r="B702" s="239">
        <v>60</v>
      </c>
      <c r="C702" s="495" t="str">
        <f ca="1">IF(Tableau3453[[#This Row],[Date 
du paiement]]="",IF(Tableau3453[[#This Row],[Jours]]&gt;Tableau3453[[#This Row],[Conditions
pmt+]]+5,"oui",""),"")</f>
        <v/>
      </c>
      <c r="D702" s="498" t="s">
        <v>1002</v>
      </c>
      <c r="E702" s="240">
        <v>45553</v>
      </c>
      <c r="F702" s="499">
        <v>852.5</v>
      </c>
      <c r="G702" s="457">
        <f>IF(Tableau3453[[#This Row],[Date 
du paiement]]="",Tableau3453[[#This Row],[Montant
de la facture
CHF]],"")</f>
        <v>852.5</v>
      </c>
      <c r="H702" s="243"/>
      <c r="I702" s="245">
        <v>45559</v>
      </c>
      <c r="J702" s="246"/>
      <c r="K702" s="247"/>
      <c r="L702" s="469"/>
      <c r="M702" s="265">
        <f ca="1">IF(Tableau3453[[#This Row],[Date 
du paiement]]="",$D$4-Tableau3453[[#This Row],[Date
de la facture]],Tableau3453[[#This Row],[Date 
du paiement]]-Tableau3453[[#This Row],[Date
de la facture]])</f>
        <v>64.46942534721893</v>
      </c>
      <c r="N702" s="263" t="str">
        <f ca="1">IF(Tableau3453[[#This Row],[Date 
du paiement]]="",IF(Tableau3453[[#This Row],[Jours]]&lt;30,Tableau3453[[#This Row],[Montant
de la facture
CHF]],""),"")</f>
        <v/>
      </c>
      <c r="O702" s="263" t="str">
        <f ca="1">IF(Tableau3453[[#This Row],[Date 
du paiement]]="",IF(Tableau3453[[#This Row],[Jours]]&gt;30,IF(Tableau3453[[#This Row],[Jours]]&lt;60,Tableau3453[[#This Row],[Montant
de la facture
CHF]],""),""),"")</f>
        <v/>
      </c>
      <c r="P702" s="263">
        <f ca="1">IF(Tableau3453[[#This Row],[Date 
du paiement]]="",IF(Tableau3453[[#This Row],[Jours]]&gt;60,Tableau3453[[#This Row],[Montant
de la facture
CHF]],""),"")</f>
        <v>852.5</v>
      </c>
      <c r="Q702" s="266"/>
      <c r="R702" s="267">
        <f>Tableau3453[[#This Row],[Solde 
ouverte
fm]]</f>
        <v>852.5</v>
      </c>
      <c r="S702" s="263">
        <f ca="1">IF(Tableau3453[[#This Row],[Date 
du paiement]]="",IF(Tableau3453[[#This Row],[Jours]]-Tableau3453[[#This Row],[Conditions
pmt+]]&gt;0,Tableau3453[[#This Row],[Montant
de la facture
CHF]],"0.00"),"0.00")</f>
        <v>852.5</v>
      </c>
    </row>
    <row r="703" spans="1:19" x14ac:dyDescent="0.25">
      <c r="A703" s="268">
        <v>240992</v>
      </c>
      <c r="B703" s="239">
        <v>60</v>
      </c>
      <c r="C703" s="505" t="str">
        <f ca="1">IF(Tableau3453[[#This Row],[Date 
du paiement]]="",IF(Tableau3453[[#This Row],[Jours]]&gt;Tableau3453[[#This Row],[Conditions
pmt+]]+5,"oui",""),"")</f>
        <v/>
      </c>
      <c r="D703" s="467" t="s">
        <v>1002</v>
      </c>
      <c r="E703" s="240">
        <v>45581</v>
      </c>
      <c r="F703" s="468">
        <v>10555.75</v>
      </c>
      <c r="G703" s="501">
        <f>IF(Tableau3453[[#This Row],[Date 
du paiement]]="",Tableau3453[[#This Row],[Montant
de la facture
CHF]],"")</f>
        <v>10555.75</v>
      </c>
      <c r="H703" s="243"/>
      <c r="I703" s="245">
        <v>45582</v>
      </c>
      <c r="J703" s="246"/>
      <c r="K703" s="247"/>
      <c r="L703" s="264"/>
      <c r="M703" s="265">
        <f ca="1">IF(Tableau3453[[#This Row],[Date 
du paiement]]="",$D$4-Tableau3453[[#This Row],[Date
de la facture]],Tableau3453[[#This Row],[Date 
du paiement]]-Tableau3453[[#This Row],[Date
de la facture]])</f>
        <v>36.46942534721893</v>
      </c>
      <c r="N703" s="263" t="str">
        <f ca="1">IF(Tableau3453[[#This Row],[Date 
du paiement]]="",IF(Tableau3453[[#This Row],[Jours]]&lt;30,Tableau3453[[#This Row],[Montant
de la facture
CHF]],""),"")</f>
        <v/>
      </c>
      <c r="O703" s="263">
        <f ca="1">IF(Tableau3453[[#This Row],[Date 
du paiement]]="",IF(Tableau3453[[#This Row],[Jours]]&gt;30,IF(Tableau3453[[#This Row],[Jours]]&lt;60,Tableau3453[[#This Row],[Montant
de la facture
CHF]],""),""),"")</f>
        <v>10555.75</v>
      </c>
      <c r="P703" s="263" t="str">
        <f ca="1">IF(Tableau3453[[#This Row],[Date 
du paiement]]="",IF(Tableau3453[[#This Row],[Jours]]&gt;60,Tableau3453[[#This Row],[Montant
de la facture
CHF]],""),"")</f>
        <v/>
      </c>
      <c r="Q703" s="266"/>
      <c r="R703" s="267">
        <f>Tableau3453[[#This Row],[Solde 
ouverte
fm]]</f>
        <v>10555.75</v>
      </c>
      <c r="S703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04" spans="1:19" hidden="1" x14ac:dyDescent="0.25">
      <c r="A704" s="268">
        <v>240996</v>
      </c>
      <c r="B704" s="239">
        <v>30</v>
      </c>
      <c r="C704" s="406" t="str">
        <f>IF(Tableau3453[[#This Row],[Date 
du paiement]]="",IF(Tableau3453[[#This Row],[Jours]]&gt;Tableau3453[[#This Row],[Conditions
pmt+]]+5,"oui",""),"")</f>
        <v/>
      </c>
      <c r="D704" s="262" t="s">
        <v>927</v>
      </c>
      <c r="E704" s="240">
        <v>45580</v>
      </c>
      <c r="F704" s="263">
        <v>16.149999999999999</v>
      </c>
      <c r="G704" s="396" t="str">
        <f>IF(Tableau3453[[#This Row],[Date 
du paiement]]="",Tableau3453[[#This Row],[Montant
de la facture
CHF]],"")</f>
        <v/>
      </c>
      <c r="H704" s="243"/>
      <c r="I704" s="245">
        <v>45582</v>
      </c>
      <c r="J704" s="246">
        <v>45603</v>
      </c>
      <c r="K704" s="247" t="s">
        <v>58</v>
      </c>
      <c r="L704" s="264"/>
      <c r="M704" s="265">
        <f>IF(Tableau3453[[#This Row],[Date 
du paiement]]="",$D$4-Tableau3453[[#This Row],[Date
de la facture]],Tableau3453[[#This Row],[Date 
du paiement]]-Tableau3453[[#This Row],[Date
de la facture]])</f>
        <v>23</v>
      </c>
      <c r="N704" s="263" t="str">
        <f>IF(Tableau3453[[#This Row],[Date 
du paiement]]="",IF(Tableau3453[[#This Row],[Jours]]&lt;30,Tableau3453[[#This Row],[Montant
de la facture
CHF]],""),"")</f>
        <v/>
      </c>
      <c r="O704" s="263" t="str">
        <f>IF(Tableau3453[[#This Row],[Date 
du paiement]]="",IF(Tableau3453[[#This Row],[Jours]]&gt;30,IF(Tableau3453[[#This Row],[Jours]]&lt;60,Tableau3453[[#This Row],[Montant
de la facture
CHF]],""),""),"")</f>
        <v/>
      </c>
      <c r="P704" s="263" t="str">
        <f>IF(Tableau3453[[#This Row],[Date 
du paiement]]="",IF(Tableau3453[[#This Row],[Jours]]&gt;60,Tableau3453[[#This Row],[Montant
de la facture
CHF]],""),"")</f>
        <v/>
      </c>
      <c r="Q704" s="266"/>
      <c r="R704" s="267" t="str">
        <f>Tableau3453[[#This Row],[Solde 
ouverte
fm]]</f>
        <v/>
      </c>
      <c r="S70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05" spans="1:19" x14ac:dyDescent="0.25">
      <c r="A705" s="268">
        <v>240997</v>
      </c>
      <c r="B705" s="239">
        <v>60</v>
      </c>
      <c r="C705" s="505" t="str">
        <f ca="1">IF(Tableau3453[[#This Row],[Date 
du paiement]]="",IF(Tableau3453[[#This Row],[Jours]]&gt;Tableau3453[[#This Row],[Conditions
pmt+]]+5,"oui",""),"")</f>
        <v/>
      </c>
      <c r="D705" s="467" t="s">
        <v>1002</v>
      </c>
      <c r="E705" s="240">
        <v>45597</v>
      </c>
      <c r="F705" s="468">
        <v>1034.4000000000001</v>
      </c>
      <c r="G705" s="501">
        <f>IF(Tableau3453[[#This Row],[Date 
du paiement]]="",Tableau3453[[#This Row],[Montant
de la facture
CHF]],"")</f>
        <v>1034.4000000000001</v>
      </c>
      <c r="H705" s="243"/>
      <c r="I705" s="245">
        <v>45602</v>
      </c>
      <c r="J705" s="246"/>
      <c r="K705" s="247"/>
      <c r="L705" s="264"/>
      <c r="M705" s="265">
        <f ca="1">IF(Tableau3453[[#This Row],[Date 
du paiement]]="",$D$4-Tableau3453[[#This Row],[Date
de la facture]],Tableau3453[[#This Row],[Date 
du paiement]]-Tableau3453[[#This Row],[Date
de la facture]])</f>
        <v>20.46942534721893</v>
      </c>
      <c r="N705" s="263">
        <f ca="1">IF(Tableau3453[[#This Row],[Date 
du paiement]]="",IF(Tableau3453[[#This Row],[Jours]]&lt;30,Tableau3453[[#This Row],[Montant
de la facture
CHF]],""),"")</f>
        <v>1034.4000000000001</v>
      </c>
      <c r="O705" s="263" t="str">
        <f ca="1">IF(Tableau3453[[#This Row],[Date 
du paiement]]="",IF(Tableau3453[[#This Row],[Jours]]&gt;30,IF(Tableau3453[[#This Row],[Jours]]&lt;60,Tableau3453[[#This Row],[Montant
de la facture
CHF]],""),""),"")</f>
        <v/>
      </c>
      <c r="P705" s="263" t="str">
        <f ca="1">IF(Tableau3453[[#This Row],[Date 
du paiement]]="",IF(Tableau3453[[#This Row],[Jours]]&gt;60,Tableau3453[[#This Row],[Montant
de la facture
CHF]],""),"")</f>
        <v/>
      </c>
      <c r="Q705" s="266"/>
      <c r="R705" s="267">
        <f>Tableau3453[[#This Row],[Solde 
ouverte
fm]]</f>
        <v>1034.4000000000001</v>
      </c>
      <c r="S70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06" spans="1:19" x14ac:dyDescent="0.25">
      <c r="A706" s="268">
        <v>241047</v>
      </c>
      <c r="B706" s="239">
        <v>60</v>
      </c>
      <c r="C706" s="505" t="str">
        <f ca="1">IF(Tableau3453[[#This Row],[Date 
du paiement]]="",IF(Tableau3453[[#This Row],[Jours]]&gt;Tableau3453[[#This Row],[Conditions
pmt+]]+5,"oui",""),"")</f>
        <v/>
      </c>
      <c r="D706" s="467" t="s">
        <v>1002</v>
      </c>
      <c r="E706" s="240">
        <v>45602</v>
      </c>
      <c r="F706" s="468">
        <v>1374.8</v>
      </c>
      <c r="G706" s="501">
        <f>IF(Tableau3453[[#This Row],[Date 
du paiement]]="",Tableau3453[[#This Row],[Montant
de la facture
CHF]],"")</f>
        <v>1374.8</v>
      </c>
      <c r="H706" s="243"/>
      <c r="I706" s="459">
        <v>45603</v>
      </c>
      <c r="J706" s="246"/>
      <c r="K706" s="247"/>
      <c r="L706" s="264"/>
      <c r="M706" s="265">
        <f ca="1">IF(Tableau3453[[#This Row],[Date 
du paiement]]="",$D$4-Tableau3453[[#This Row],[Date
de la facture]],Tableau3453[[#This Row],[Date 
du paiement]]-Tableau3453[[#This Row],[Date
de la facture]])</f>
        <v>15.46942534721893</v>
      </c>
      <c r="N706" s="263">
        <f ca="1">IF(Tableau3453[[#This Row],[Date 
du paiement]]="",IF(Tableau3453[[#This Row],[Jours]]&lt;30,Tableau3453[[#This Row],[Montant
de la facture
CHF]],""),"")</f>
        <v>1374.8</v>
      </c>
      <c r="O706" s="263" t="str">
        <f ca="1">IF(Tableau3453[[#This Row],[Date 
du paiement]]="",IF(Tableau3453[[#This Row],[Jours]]&gt;30,IF(Tableau3453[[#This Row],[Jours]]&lt;60,Tableau3453[[#This Row],[Montant
de la facture
CHF]],""),""),"")</f>
        <v/>
      </c>
      <c r="P706" s="263" t="str">
        <f ca="1">IF(Tableau3453[[#This Row],[Date 
du paiement]]="",IF(Tableau3453[[#This Row],[Jours]]&gt;60,Tableau3453[[#This Row],[Montant
de la facture
CHF]],""),"")</f>
        <v/>
      </c>
      <c r="Q706" s="266"/>
      <c r="R706" s="267">
        <f>Tableau3453[[#This Row],[Solde 
ouverte
fm]]</f>
        <v>1374.8</v>
      </c>
      <c r="S706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07" spans="1:19" x14ac:dyDescent="0.25">
      <c r="A707" s="268">
        <v>241048</v>
      </c>
      <c r="B707" s="239">
        <v>60</v>
      </c>
      <c r="C707" s="505" t="str">
        <f ca="1">IF(Tableau3453[[#This Row],[Date 
du paiement]]="",IF(Tableau3453[[#This Row],[Jours]]&gt;Tableau3453[[#This Row],[Conditions
pmt+]]+5,"oui",""),"")</f>
        <v/>
      </c>
      <c r="D707" s="467" t="s">
        <v>1002</v>
      </c>
      <c r="E707" s="240">
        <v>45602</v>
      </c>
      <c r="F707" s="468">
        <v>4806.3</v>
      </c>
      <c r="G707" s="501">
        <f>IF(Tableau3453[[#This Row],[Date 
du paiement]]="",Tableau3453[[#This Row],[Montant
de la facture
CHF]],"")</f>
        <v>4806.3</v>
      </c>
      <c r="H707" s="243"/>
      <c r="I707" s="459">
        <v>45603</v>
      </c>
      <c r="J707" s="246"/>
      <c r="K707" s="247"/>
      <c r="L707" s="264"/>
      <c r="M707" s="265">
        <f ca="1">IF(Tableau3453[[#This Row],[Date 
du paiement]]="",$D$4-Tableau3453[[#This Row],[Date
de la facture]],Tableau3453[[#This Row],[Date 
du paiement]]-Tableau3453[[#This Row],[Date
de la facture]])</f>
        <v>15.46942534721893</v>
      </c>
      <c r="N707" s="263">
        <f ca="1">IF(Tableau3453[[#This Row],[Date 
du paiement]]="",IF(Tableau3453[[#This Row],[Jours]]&lt;30,Tableau3453[[#This Row],[Montant
de la facture
CHF]],""),"")</f>
        <v>4806.3</v>
      </c>
      <c r="O707" s="263" t="str">
        <f ca="1">IF(Tableau3453[[#This Row],[Date 
du paiement]]="",IF(Tableau3453[[#This Row],[Jours]]&gt;30,IF(Tableau3453[[#This Row],[Jours]]&lt;60,Tableau3453[[#This Row],[Montant
de la facture
CHF]],""),""),"")</f>
        <v/>
      </c>
      <c r="P707" s="263" t="str">
        <f ca="1">IF(Tableau3453[[#This Row],[Date 
du paiement]]="",IF(Tableau3453[[#This Row],[Jours]]&gt;60,Tableau3453[[#This Row],[Montant
de la facture
CHF]],""),"")</f>
        <v/>
      </c>
      <c r="Q707" s="266"/>
      <c r="R707" s="267">
        <f>Tableau3453[[#This Row],[Solde 
ouverte
fm]]</f>
        <v>4806.3</v>
      </c>
      <c r="S707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08" spans="1:19" hidden="1" x14ac:dyDescent="0.25">
      <c r="A708" s="268">
        <v>240934</v>
      </c>
      <c r="B708" s="239">
        <v>30</v>
      </c>
      <c r="C708" s="505" t="str">
        <f>IF(Tableau3453[[#This Row],[Date 
du paiement]]="",IF(Tableau3453[[#This Row],[Jours]]&gt;Tableau3453[[#This Row],[Conditions
pmt+]]+5,"oui",""),"")</f>
        <v/>
      </c>
      <c r="D708" s="467" t="s">
        <v>902</v>
      </c>
      <c r="E708" s="240">
        <v>45580</v>
      </c>
      <c r="F708" s="468">
        <v>2709.8</v>
      </c>
      <c r="G708" s="501" t="str">
        <f>IF(Tableau3453[[#This Row],[Date 
du paiement]]="",Tableau3453[[#This Row],[Montant
de la facture
CHF]],"")</f>
        <v/>
      </c>
      <c r="H708" s="243"/>
      <c r="I708" s="245">
        <v>45582</v>
      </c>
      <c r="J708" s="246">
        <v>45604</v>
      </c>
      <c r="K708" s="247" t="s">
        <v>58</v>
      </c>
      <c r="L708" s="264"/>
      <c r="M708" s="265">
        <f>IF(Tableau3453[[#This Row],[Date 
du paiement]]="",$D$4-Tableau3453[[#This Row],[Date
de la facture]],Tableau3453[[#This Row],[Date 
du paiement]]-Tableau3453[[#This Row],[Date
de la facture]])</f>
        <v>24</v>
      </c>
      <c r="N708" s="263" t="str">
        <f>IF(Tableau3453[[#This Row],[Date 
du paiement]]="",IF(Tableau3453[[#This Row],[Jours]]&lt;30,Tableau3453[[#This Row],[Montant
de la facture
CHF]],""),"")</f>
        <v/>
      </c>
      <c r="O708" s="263" t="str">
        <f>IF(Tableau3453[[#This Row],[Date 
du paiement]]="",IF(Tableau3453[[#This Row],[Jours]]&gt;30,IF(Tableau3453[[#This Row],[Jours]]&lt;60,Tableau3453[[#This Row],[Montant
de la facture
CHF]],""),""),"")</f>
        <v/>
      </c>
      <c r="P708" s="263" t="str">
        <f>IF(Tableau3453[[#This Row],[Date 
du paiement]]="",IF(Tableau3453[[#This Row],[Jours]]&gt;60,Tableau3453[[#This Row],[Montant
de la facture
CHF]],""),"")</f>
        <v/>
      </c>
      <c r="Q708" s="266"/>
      <c r="R708" s="267" t="str">
        <f>Tableau3453[[#This Row],[Solde 
ouverte
fm]]</f>
        <v/>
      </c>
      <c r="S70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09" spans="1:19" hidden="1" x14ac:dyDescent="0.25">
      <c r="A709" s="323">
        <v>240863</v>
      </c>
      <c r="B709" s="324">
        <v>0</v>
      </c>
      <c r="C709" s="361" t="str">
        <f>IF(Tableau3453[[#This Row],[Date 
du paiement]]="",IF(Tableau3453[[#This Row],[Jours]]&gt;Tableau3453[[#This Row],[Conditions
pmt+]]+5,"oui",""),"")</f>
        <v/>
      </c>
      <c r="D709" s="393" t="s">
        <v>1534</v>
      </c>
      <c r="E709" s="326">
        <v>45554</v>
      </c>
      <c r="F709" s="398">
        <v>371.55</v>
      </c>
      <c r="G709" s="405" t="str">
        <f>IF(Tableau3453[[#This Row],[Date 
du paiement]]="",Tableau3453[[#This Row],[Montant
de la facture
CHF]],"")</f>
        <v/>
      </c>
      <c r="H709" s="328"/>
      <c r="I709" s="335">
        <v>45559</v>
      </c>
      <c r="J709" s="329">
        <v>45597</v>
      </c>
      <c r="K709" s="330" t="s">
        <v>58</v>
      </c>
      <c r="L709" s="331">
        <v>2</v>
      </c>
      <c r="M709" s="332">
        <f>IF(Tableau3453[[#This Row],[Date 
du paiement]]="",$D$4-Tableau3453[[#This Row],[Date
de la facture]],Tableau3453[[#This Row],[Date 
du paiement]]-Tableau3453[[#This Row],[Date
de la facture]])</f>
        <v>43</v>
      </c>
      <c r="N709" s="327" t="str">
        <f>IF(Tableau3453[[#This Row],[Date 
du paiement]]="",IF(Tableau3453[[#This Row],[Jours]]&lt;30,Tableau3453[[#This Row],[Montant
de la facture
CHF]],""),"")</f>
        <v/>
      </c>
      <c r="O709" s="327" t="str">
        <f>IF(Tableau3453[[#This Row],[Date 
du paiement]]="",IF(Tableau3453[[#This Row],[Jours]]&gt;30,IF(Tableau3453[[#This Row],[Jours]]&lt;60,Tableau3453[[#This Row],[Montant
de la facture
CHF]],""),""),"")</f>
        <v/>
      </c>
      <c r="P709" s="327" t="str">
        <f>IF(Tableau3453[[#This Row],[Date 
du paiement]]="",IF(Tableau3453[[#This Row],[Jours]]&gt;60,Tableau3453[[#This Row],[Montant
de la facture
CHF]],""),"")</f>
        <v/>
      </c>
      <c r="Q709" s="333"/>
      <c r="R709" s="334" t="str">
        <f>Tableau3453[[#This Row],[Solde 
ouverte
fm]]</f>
        <v/>
      </c>
      <c r="S709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0" spans="1:19" hidden="1" x14ac:dyDescent="0.25">
      <c r="A710" s="268">
        <v>240960</v>
      </c>
      <c r="B710" s="239">
        <v>30</v>
      </c>
      <c r="C710" s="406" t="str">
        <f>IF(Tableau3453[[#This Row],[Date 
du paiement]]="",IF(Tableau3453[[#This Row],[Jours]]&gt;Tableau3453[[#This Row],[Conditions
pmt+]]+5,"oui",""),"")</f>
        <v/>
      </c>
      <c r="D710" s="262" t="s">
        <v>1634</v>
      </c>
      <c r="E710" s="240">
        <v>45574</v>
      </c>
      <c r="F710" s="263">
        <v>81.099999999999994</v>
      </c>
      <c r="G710" s="396" t="str">
        <f>IF(Tableau3453[[#This Row],[Date 
du paiement]]="",Tableau3453[[#This Row],[Montant
de la facture
CHF]],"")</f>
        <v/>
      </c>
      <c r="H710" s="243"/>
      <c r="I710" s="394">
        <v>45580</v>
      </c>
      <c r="J710" s="246">
        <v>45586</v>
      </c>
      <c r="K710" s="247" t="s">
        <v>58</v>
      </c>
      <c r="L710" s="264"/>
      <c r="M710" s="265">
        <f>IF(Tableau3453[[#This Row],[Date 
du paiement]]="",$D$4-Tableau3453[[#This Row],[Date
de la facture]],Tableau3453[[#This Row],[Date 
du paiement]]-Tableau3453[[#This Row],[Date
de la facture]])</f>
        <v>12</v>
      </c>
      <c r="N710" s="263" t="str">
        <f>IF(Tableau3453[[#This Row],[Date 
du paiement]]="",IF(Tableau3453[[#This Row],[Jours]]&lt;30,Tableau3453[[#This Row],[Montant
de la facture
CHF]],""),"")</f>
        <v/>
      </c>
      <c r="O710" s="263" t="str">
        <f>IF(Tableau3453[[#This Row],[Date 
du paiement]]="",IF(Tableau3453[[#This Row],[Jours]]&gt;30,IF(Tableau3453[[#This Row],[Jours]]&lt;60,Tableau3453[[#This Row],[Montant
de la facture
CHF]],""),""),"")</f>
        <v/>
      </c>
      <c r="P710" s="263" t="str">
        <f>IF(Tableau3453[[#This Row],[Date 
du paiement]]="",IF(Tableau3453[[#This Row],[Jours]]&gt;60,Tableau3453[[#This Row],[Montant
de la facture
CHF]],""),"")</f>
        <v/>
      </c>
      <c r="Q710" s="266"/>
      <c r="R710" s="267" t="str">
        <f>Tableau3453[[#This Row],[Solde 
ouverte
fm]]</f>
        <v/>
      </c>
      <c r="S710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1" spans="1:19" hidden="1" x14ac:dyDescent="0.25">
      <c r="A711" s="268">
        <v>240897</v>
      </c>
      <c r="B711" s="239">
        <v>30</v>
      </c>
      <c r="C711" s="352" t="str">
        <f>IF(Tableau3453[[#This Row],[Date 
du paiement]]="",IF(Tableau3453[[#This Row],[Jours]]&gt;Tableau3453[[#This Row],[Conditions
pmt+]]+5,"oui",""),"")</f>
        <v/>
      </c>
      <c r="D711" s="373" t="s">
        <v>1536</v>
      </c>
      <c r="E711" s="240">
        <v>45554</v>
      </c>
      <c r="F711" s="375">
        <v>1738.6</v>
      </c>
      <c r="G711" s="242" t="str">
        <f>IF(Tableau3453[[#This Row],[Date 
du paiement]]="",Tableau3453[[#This Row],[Montant
de la facture
CHF]],"")</f>
        <v/>
      </c>
      <c r="H711" s="243"/>
      <c r="I711" s="245">
        <v>45559</v>
      </c>
      <c r="J711" s="246">
        <v>45586</v>
      </c>
      <c r="K711" s="247" t="s">
        <v>58</v>
      </c>
      <c r="L711" s="264"/>
      <c r="M711" s="265">
        <f>IF(Tableau3453[[#This Row],[Date 
du paiement]]="",$D$4-Tableau3453[[#This Row],[Date
de la facture]],Tableau3453[[#This Row],[Date 
du paiement]]-Tableau3453[[#This Row],[Date
de la facture]])</f>
        <v>32</v>
      </c>
      <c r="N711" s="263" t="str">
        <f>IF(Tableau3453[[#This Row],[Date 
du paiement]]="",IF(Tableau3453[[#This Row],[Jours]]&lt;30,Tableau3453[[#This Row],[Montant
de la facture
CHF]],""),"")</f>
        <v/>
      </c>
      <c r="O711" s="263" t="str">
        <f>IF(Tableau3453[[#This Row],[Date 
du paiement]]="",IF(Tableau3453[[#This Row],[Jours]]&gt;30,IF(Tableau3453[[#This Row],[Jours]]&lt;60,Tableau3453[[#This Row],[Montant
de la facture
CHF]],""),""),"")</f>
        <v/>
      </c>
      <c r="P711" s="263" t="str">
        <f>IF(Tableau3453[[#This Row],[Date 
du paiement]]="",IF(Tableau3453[[#This Row],[Jours]]&gt;60,Tableau3453[[#This Row],[Montant
de la facture
CHF]],""),"")</f>
        <v/>
      </c>
      <c r="Q711" s="266"/>
      <c r="R711" s="267" t="str">
        <f>Tableau3453[[#This Row],[Solde 
ouverte
fm]]</f>
        <v/>
      </c>
      <c r="S71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2" spans="1:19" x14ac:dyDescent="0.25">
      <c r="A712" s="268">
        <v>241078</v>
      </c>
      <c r="B712" s="239">
        <v>60</v>
      </c>
      <c r="C712" s="406" t="str">
        <f ca="1">IF(Tableau3453[[#This Row],[Date 
du paiement]]="",IF(Tableau3453[[#This Row],[Jours]]&gt;Tableau3453[[#This Row],[Conditions
pmt+]]+5,"oui",""),"")</f>
        <v/>
      </c>
      <c r="D712" s="467" t="s">
        <v>1002</v>
      </c>
      <c r="E712" s="240">
        <v>45614</v>
      </c>
      <c r="F712" s="468">
        <v>6214.55</v>
      </c>
      <c r="G712" s="501">
        <f>IF(Tableau3453[[#This Row],[Date 
du paiement]]="",Tableau3453[[#This Row],[Montant
de la facture
CHF]],"")</f>
        <v>6214.55</v>
      </c>
      <c r="H712" s="243"/>
      <c r="I712" s="459">
        <v>45616</v>
      </c>
      <c r="J712" s="246"/>
      <c r="K712" s="247"/>
      <c r="L712" s="264"/>
      <c r="M712" s="265">
        <f ca="1">IF(Tableau3453[[#This Row],[Date 
du paiement]]="",$D$4-Tableau3453[[#This Row],[Date
de la facture]],Tableau3453[[#This Row],[Date 
du paiement]]-Tableau3453[[#This Row],[Date
de la facture]])</f>
        <v>3.4694253472189303</v>
      </c>
      <c r="N712" s="263">
        <f ca="1">IF(Tableau3453[[#This Row],[Date 
du paiement]]="",IF(Tableau3453[[#This Row],[Jours]]&lt;30,Tableau3453[[#This Row],[Montant
de la facture
CHF]],""),"")</f>
        <v>6214.55</v>
      </c>
      <c r="O712" s="263" t="str">
        <f ca="1">IF(Tableau3453[[#This Row],[Date 
du paiement]]="",IF(Tableau3453[[#This Row],[Jours]]&gt;30,IF(Tableau3453[[#This Row],[Jours]]&lt;60,Tableau3453[[#This Row],[Montant
de la facture
CHF]],""),""),"")</f>
        <v/>
      </c>
      <c r="P712" s="263" t="str">
        <f ca="1">IF(Tableau3453[[#This Row],[Date 
du paiement]]="",IF(Tableau3453[[#This Row],[Jours]]&gt;60,Tableau3453[[#This Row],[Montant
de la facture
CHF]],""),"")</f>
        <v/>
      </c>
      <c r="Q712" s="266"/>
      <c r="R712" s="267">
        <f>Tableau3453[[#This Row],[Solde 
ouverte
fm]]</f>
        <v>6214.55</v>
      </c>
      <c r="S712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13" spans="1:19" hidden="1" x14ac:dyDescent="0.25">
      <c r="A713" s="268">
        <v>240718</v>
      </c>
      <c r="B713" s="239">
        <v>30</v>
      </c>
      <c r="C713" s="352" t="str">
        <f>IF(Tableau3453[[#This Row],[Date 
du paiement]]="",IF(Tableau3453[[#This Row],[Jours]]&gt;Tableau3453[[#This Row],[Conditions
pmt+]]+5,"oui",""),"")</f>
        <v/>
      </c>
      <c r="D713" s="262" t="s">
        <v>1502</v>
      </c>
      <c r="E713" s="240">
        <v>45547</v>
      </c>
      <c r="F713" s="263">
        <v>81.099999999999994</v>
      </c>
      <c r="G713" s="242" t="str">
        <f>IF(Tableau3453[[#This Row],[Date 
du paiement]]="",Tableau3453[[#This Row],[Montant
de la facture
CHF]],"")</f>
        <v/>
      </c>
      <c r="H713" s="243"/>
      <c r="I713" s="245">
        <v>45547</v>
      </c>
      <c r="J713" s="246">
        <v>45590</v>
      </c>
      <c r="K713" s="247" t="s">
        <v>58</v>
      </c>
      <c r="L713" s="264">
        <v>1</v>
      </c>
      <c r="M713" s="265">
        <f>IF(Tableau3453[[#This Row],[Date 
du paiement]]="",$D$4-Tableau3453[[#This Row],[Date
de la facture]],Tableau3453[[#This Row],[Date 
du paiement]]-Tableau3453[[#This Row],[Date
de la facture]])</f>
        <v>43</v>
      </c>
      <c r="N713" s="263" t="str">
        <f>IF(Tableau3453[[#This Row],[Date 
du paiement]]="",IF(Tableau3453[[#This Row],[Jours]]&lt;30,Tableau3453[[#This Row],[Montant
de la facture
CHF]],""),"")</f>
        <v/>
      </c>
      <c r="O713" s="263" t="str">
        <f>IF(Tableau3453[[#This Row],[Date 
du paiement]]="",IF(Tableau3453[[#This Row],[Jours]]&gt;30,IF(Tableau3453[[#This Row],[Jours]]&lt;60,Tableau3453[[#This Row],[Montant
de la facture
CHF]],""),""),"")</f>
        <v/>
      </c>
      <c r="P713" s="263" t="str">
        <f>IF(Tableau3453[[#This Row],[Date 
du paiement]]="",IF(Tableau3453[[#This Row],[Jours]]&gt;60,Tableau3453[[#This Row],[Montant
de la facture
CHF]],""),"")</f>
        <v/>
      </c>
      <c r="Q713" s="266"/>
      <c r="R713" s="267" t="str">
        <f>Tableau3453[[#This Row],[Solde 
ouverte
fm]]</f>
        <v/>
      </c>
      <c r="S71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4" spans="1:19" x14ac:dyDescent="0.25">
      <c r="A714" s="473">
        <v>240859</v>
      </c>
      <c r="B714" s="454">
        <v>30</v>
      </c>
      <c r="C714" s="505" t="str">
        <f ca="1">IF(Tableau3453[[#This Row],[Date 
du paiement]]="",IF(Tableau3453[[#This Row],[Jours]]&gt;Tableau3453[[#This Row],[Conditions
pmt+]]+5,"oui",""),"")</f>
        <v>oui</v>
      </c>
      <c r="D714" s="467" t="s">
        <v>879</v>
      </c>
      <c r="E714" s="455">
        <v>45579</v>
      </c>
      <c r="F714" s="468">
        <v>7536.95</v>
      </c>
      <c r="G714" s="501">
        <f>IF(Tableau3453[[#This Row],[Date 
du paiement]]="",Tableau3453[[#This Row],[Montant
de la facture
CHF]],"")</f>
        <v>7536.95</v>
      </c>
      <c r="H714" s="458"/>
      <c r="I714" s="459">
        <v>45580</v>
      </c>
      <c r="J714" s="460"/>
      <c r="K714" s="461"/>
      <c r="L714" s="469">
        <v>1</v>
      </c>
      <c r="M714" s="470">
        <f ca="1">IF(Tableau3453[[#This Row],[Date 
du paiement]]="",$D$4-Tableau3453[[#This Row],[Date
de la facture]],Tableau3453[[#This Row],[Date 
du paiement]]-Tableau3453[[#This Row],[Date
de la facture]])</f>
        <v>38.46942534721893</v>
      </c>
      <c r="N714" s="468" t="str">
        <f ca="1">IF(Tableau3453[[#This Row],[Date 
du paiement]]="",IF(Tableau3453[[#This Row],[Jours]]&lt;30,Tableau3453[[#This Row],[Montant
de la facture
CHF]],""),"")</f>
        <v/>
      </c>
      <c r="O714" s="468">
        <f ca="1">IF(Tableau3453[[#This Row],[Date 
du paiement]]="",IF(Tableau3453[[#This Row],[Jours]]&gt;30,IF(Tableau3453[[#This Row],[Jours]]&lt;60,Tableau3453[[#This Row],[Montant
de la facture
CHF]],""),""),"")</f>
        <v>7536.95</v>
      </c>
      <c r="P714" s="468" t="str">
        <f ca="1">IF(Tableau3453[[#This Row],[Date 
du paiement]]="",IF(Tableau3453[[#This Row],[Jours]]&gt;60,Tableau3453[[#This Row],[Montant
de la facture
CHF]],""),"")</f>
        <v/>
      </c>
      <c r="Q714" s="471"/>
      <c r="R714" s="472">
        <f>Tableau3453[[#This Row],[Solde 
ouverte
fm]]</f>
        <v>7536.95</v>
      </c>
      <c r="S714" s="468">
        <f ca="1">IF(Tableau3453[[#This Row],[Date 
du paiement]]="",IF(Tableau3453[[#This Row],[Jours]]-Tableau3453[[#This Row],[Conditions
pmt+]]&gt;0,Tableau3453[[#This Row],[Montant
de la facture
CHF]],"0.00"),"0.00")</f>
        <v>7536.95</v>
      </c>
    </row>
    <row r="715" spans="1:19" x14ac:dyDescent="0.25">
      <c r="A715" s="268">
        <v>240910</v>
      </c>
      <c r="B715" s="239">
        <v>30</v>
      </c>
      <c r="C715" s="505" t="str">
        <f ca="1">IF(Tableau3453[[#This Row],[Date 
du paiement]]="",IF(Tableau3453[[#This Row],[Jours]]&gt;Tableau3453[[#This Row],[Conditions
pmt+]]+5,"oui",""),"")</f>
        <v/>
      </c>
      <c r="D715" s="467" t="s">
        <v>879</v>
      </c>
      <c r="E715" s="240">
        <v>45596</v>
      </c>
      <c r="F715" s="468">
        <v>760.9</v>
      </c>
      <c r="G715" s="501">
        <f>IF(Tableau3453[[#This Row],[Date 
du paiement]]="",Tableau3453[[#This Row],[Montant
de la facture
CHF]],"")</f>
        <v>760.9</v>
      </c>
      <c r="H715" s="243"/>
      <c r="I715" s="245">
        <v>45597</v>
      </c>
      <c r="J715" s="246"/>
      <c r="K715" s="247"/>
      <c r="L715" s="469"/>
      <c r="M715" s="265">
        <f ca="1">IF(Tableau3453[[#This Row],[Date 
du paiement]]="",$D$4-Tableau3453[[#This Row],[Date
de la facture]],Tableau3453[[#This Row],[Date 
du paiement]]-Tableau3453[[#This Row],[Date
de la facture]])</f>
        <v>21.46942534721893</v>
      </c>
      <c r="N715" s="263">
        <f ca="1">IF(Tableau3453[[#This Row],[Date 
du paiement]]="",IF(Tableau3453[[#This Row],[Jours]]&lt;30,Tableau3453[[#This Row],[Montant
de la facture
CHF]],""),"")</f>
        <v>760.9</v>
      </c>
      <c r="O715" s="263" t="str">
        <f ca="1">IF(Tableau3453[[#This Row],[Date 
du paiement]]="",IF(Tableau3453[[#This Row],[Jours]]&gt;30,IF(Tableau3453[[#This Row],[Jours]]&lt;60,Tableau3453[[#This Row],[Montant
de la facture
CHF]],""),""),"")</f>
        <v/>
      </c>
      <c r="P715" s="263" t="str">
        <f ca="1">IF(Tableau3453[[#This Row],[Date 
du paiement]]="",IF(Tableau3453[[#This Row],[Jours]]&gt;60,Tableau3453[[#This Row],[Montant
de la facture
CHF]],""),"")</f>
        <v/>
      </c>
      <c r="Q715" s="471"/>
      <c r="R715" s="267">
        <f>Tableau3453[[#This Row],[Solde 
ouverte
fm]]</f>
        <v>760.9</v>
      </c>
      <c r="S71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16" spans="1:19" x14ac:dyDescent="0.25">
      <c r="A716" s="268">
        <v>241079</v>
      </c>
      <c r="B716" s="239">
        <v>30</v>
      </c>
      <c r="C716" s="495" t="str">
        <f ca="1">IF(Tableau3453[[#This Row],[Date 
du paiement]]="",IF(Tableau3453[[#This Row],[Jours]]&gt;Tableau3453[[#This Row],[Conditions
pmt+]]+5,"oui",""),"")</f>
        <v/>
      </c>
      <c r="D716" s="467" t="s">
        <v>879</v>
      </c>
      <c r="E716" s="240">
        <v>45610</v>
      </c>
      <c r="F716" s="468">
        <v>64.8</v>
      </c>
      <c r="G716" s="501">
        <f>IF(Tableau3453[[#This Row],[Date 
du paiement]]="",Tableau3453[[#This Row],[Montant
de la facture
CHF]],"")</f>
        <v>64.8</v>
      </c>
      <c r="H716" s="243"/>
      <c r="I716" s="245">
        <v>45610</v>
      </c>
      <c r="J716" s="246"/>
      <c r="K716" s="247"/>
      <c r="L716" s="469"/>
      <c r="M716" s="265">
        <f ca="1">IF(Tableau3453[[#This Row],[Date 
du paiement]]="",$D$4-Tableau3453[[#This Row],[Date
de la facture]],Tableau3453[[#This Row],[Date 
du paiement]]-Tableau3453[[#This Row],[Date
de la facture]])</f>
        <v>7.4694253472189303</v>
      </c>
      <c r="N716" s="263">
        <f ca="1">IF(Tableau3453[[#This Row],[Date 
du paiement]]="",IF(Tableau3453[[#This Row],[Jours]]&lt;30,Tableau3453[[#This Row],[Montant
de la facture
CHF]],""),"")</f>
        <v>64.8</v>
      </c>
      <c r="O716" s="263" t="str">
        <f ca="1">IF(Tableau3453[[#This Row],[Date 
du paiement]]="",IF(Tableau3453[[#This Row],[Jours]]&gt;30,IF(Tableau3453[[#This Row],[Jours]]&lt;60,Tableau3453[[#This Row],[Montant
de la facture
CHF]],""),""),"")</f>
        <v/>
      </c>
      <c r="P716" s="263" t="str">
        <f ca="1">IF(Tableau3453[[#This Row],[Date 
du paiement]]="",IF(Tableau3453[[#This Row],[Jours]]&gt;60,Tableau3453[[#This Row],[Montant
de la facture
CHF]],""),"")</f>
        <v/>
      </c>
      <c r="Q716" s="471"/>
      <c r="R716" s="267">
        <f>Tableau3453[[#This Row],[Solde 
ouverte
fm]]</f>
        <v>64.8</v>
      </c>
      <c r="S716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17" spans="1:19" hidden="1" x14ac:dyDescent="0.25">
      <c r="A717" s="323">
        <v>240764</v>
      </c>
      <c r="B717" s="324" t="s">
        <v>860</v>
      </c>
      <c r="C717" s="361" t="str">
        <f>IF(Tableau3453[[#This Row],[Date 
du paiement]]="",IF(Tableau3453[[#This Row],[Jours]]&gt;Tableau3453[[#This Row],[Conditions
pmt+]]+5,"oui",""),"")</f>
        <v/>
      </c>
      <c r="D717" s="393" t="s">
        <v>1467</v>
      </c>
      <c r="E717" s="326">
        <v>45547</v>
      </c>
      <c r="F717" s="398">
        <v>2276.6</v>
      </c>
      <c r="G717" s="405" t="str">
        <f>IF(Tableau3453[[#This Row],[Date 
du paiement]]="",Tableau3453[[#This Row],[Montant
de la facture
CHF]],"")</f>
        <v/>
      </c>
      <c r="H717" s="328"/>
      <c r="I717" s="335">
        <v>45548</v>
      </c>
      <c r="J717" s="329">
        <v>45595</v>
      </c>
      <c r="K717" s="330" t="s">
        <v>58</v>
      </c>
      <c r="L717" s="331">
        <v>2</v>
      </c>
      <c r="M717" s="332">
        <f>IF(Tableau3453[[#This Row],[Date 
du paiement]]="",$D$4-Tableau3453[[#This Row],[Date
de la facture]],Tableau3453[[#This Row],[Date 
du paiement]]-Tableau3453[[#This Row],[Date
de la facture]])</f>
        <v>48</v>
      </c>
      <c r="N717" s="327" t="str">
        <f>IF(Tableau3453[[#This Row],[Date 
du paiement]]="",IF(Tableau3453[[#This Row],[Jours]]&lt;30,Tableau3453[[#This Row],[Montant
de la facture
CHF]],""),"")</f>
        <v/>
      </c>
      <c r="O717" s="327" t="str">
        <f>IF(Tableau3453[[#This Row],[Date 
du paiement]]="",IF(Tableau3453[[#This Row],[Jours]]&gt;30,IF(Tableau3453[[#This Row],[Jours]]&lt;60,Tableau3453[[#This Row],[Montant
de la facture
CHF]],""),""),"")</f>
        <v/>
      </c>
      <c r="P717" s="327" t="str">
        <f>IF(Tableau3453[[#This Row],[Date 
du paiement]]="",IF(Tableau3453[[#This Row],[Jours]]&gt;60,Tableau3453[[#This Row],[Montant
de la facture
CHF]],""),"")</f>
        <v/>
      </c>
      <c r="Q717" s="333"/>
      <c r="R717" s="334" t="str">
        <f>Tableau3453[[#This Row],[Solde 
ouverte
fm]]</f>
        <v/>
      </c>
      <c r="S717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8" spans="1:19" hidden="1" x14ac:dyDescent="0.25">
      <c r="A718" s="268">
        <v>240969</v>
      </c>
      <c r="B718" s="239">
        <v>30</v>
      </c>
      <c r="C718" s="505" t="str">
        <f>IF(Tableau3453[[#This Row],[Date 
du paiement]]="",IF(Tableau3453[[#This Row],[Jours]]&gt;Tableau3453[[#This Row],[Conditions
pmt+]]+5,"oui",""),"")</f>
        <v/>
      </c>
      <c r="D718" s="262" t="s">
        <v>902</v>
      </c>
      <c r="E718" s="240">
        <v>45582</v>
      </c>
      <c r="F718" s="263">
        <v>4563.5</v>
      </c>
      <c r="G718" s="396" t="str">
        <f>IF(Tableau3453[[#This Row],[Date 
du paiement]]="",Tableau3453[[#This Row],[Montant
de la facture
CHF]],"")</f>
        <v/>
      </c>
      <c r="H718" s="243"/>
      <c r="I718" s="245">
        <v>45583</v>
      </c>
      <c r="J718" s="246">
        <v>45611</v>
      </c>
      <c r="K718" s="247" t="s">
        <v>58</v>
      </c>
      <c r="L718" s="264"/>
      <c r="M718" s="265">
        <f>IF(Tableau3453[[#This Row],[Date 
du paiement]]="",$D$4-Tableau3453[[#This Row],[Date
de la facture]],Tableau3453[[#This Row],[Date 
du paiement]]-Tableau3453[[#This Row],[Date
de la facture]])</f>
        <v>29</v>
      </c>
      <c r="N718" s="263" t="str">
        <f>IF(Tableau3453[[#This Row],[Date 
du paiement]]="",IF(Tableau3453[[#This Row],[Jours]]&lt;30,Tableau3453[[#This Row],[Montant
de la facture
CHF]],""),"")</f>
        <v/>
      </c>
      <c r="O718" s="263" t="str">
        <f>IF(Tableau3453[[#This Row],[Date 
du paiement]]="",IF(Tableau3453[[#This Row],[Jours]]&gt;30,IF(Tableau3453[[#This Row],[Jours]]&lt;60,Tableau3453[[#This Row],[Montant
de la facture
CHF]],""),""),"")</f>
        <v/>
      </c>
      <c r="P718" s="263" t="str">
        <f>IF(Tableau3453[[#This Row],[Date 
du paiement]]="",IF(Tableau3453[[#This Row],[Jours]]&gt;60,Tableau3453[[#This Row],[Montant
de la facture
CHF]],""),"")</f>
        <v/>
      </c>
      <c r="Q718" s="471"/>
      <c r="R718" s="267" t="str">
        <f>Tableau3453[[#This Row],[Solde 
ouverte
fm]]</f>
        <v/>
      </c>
      <c r="S718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19" spans="1:19" hidden="1" x14ac:dyDescent="0.25">
      <c r="A719" s="268">
        <v>240584</v>
      </c>
      <c r="B719" s="239" t="s">
        <v>860</v>
      </c>
      <c r="C719" s="352" t="str">
        <f>IF(Tableau3453[[#This Row],[Date 
du paiement]]="",IF(Tableau3453[[#This Row],[Jours]]&gt;Tableau3453[[#This Row],[Conditions
pmt+]]+5,"oui",""),"")</f>
        <v/>
      </c>
      <c r="D719" s="373" t="s">
        <v>1044</v>
      </c>
      <c r="E719" s="240">
        <v>45554</v>
      </c>
      <c r="F719" s="397">
        <v>23836.95</v>
      </c>
      <c r="G719" s="396" t="str">
        <f>IF(Tableau3453[[#This Row],[Date 
du paiement]]="",Tableau3453[[#This Row],[Montant
de la facture
CHF]],"")</f>
        <v/>
      </c>
      <c r="H719" s="243"/>
      <c r="I719" s="245">
        <v>45561</v>
      </c>
      <c r="J719" s="246">
        <v>45593</v>
      </c>
      <c r="K719" s="247" t="s">
        <v>58</v>
      </c>
      <c r="L719" s="264"/>
      <c r="M719" s="265">
        <f>IF(Tableau3453[[#This Row],[Date 
du paiement]]="",$D$4-Tableau3453[[#This Row],[Date
de la facture]],Tableau3453[[#This Row],[Date 
du paiement]]-Tableau3453[[#This Row],[Date
de la facture]])</f>
        <v>39</v>
      </c>
      <c r="N719" s="263" t="str">
        <f>IF(Tableau3453[[#This Row],[Date 
du paiement]]="",IF(Tableau3453[[#This Row],[Jours]]&lt;30,Tableau3453[[#This Row],[Montant
de la facture
CHF]],""),"")</f>
        <v/>
      </c>
      <c r="O719" s="263" t="str">
        <f>IF(Tableau3453[[#This Row],[Date 
du paiement]]="",IF(Tableau3453[[#This Row],[Jours]]&gt;30,IF(Tableau3453[[#This Row],[Jours]]&lt;60,Tableau3453[[#This Row],[Montant
de la facture
CHF]],""),""),"")</f>
        <v/>
      </c>
      <c r="P719" s="263" t="str">
        <f>IF(Tableau3453[[#This Row],[Date 
du paiement]]="",IF(Tableau3453[[#This Row],[Jours]]&gt;60,Tableau3453[[#This Row],[Montant
de la facture
CHF]],""),"")</f>
        <v/>
      </c>
      <c r="Q719" s="266"/>
      <c r="R719" s="267" t="str">
        <f>Tableau3453[[#This Row],[Solde 
ouverte
fm]]</f>
        <v/>
      </c>
      <c r="S71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20" spans="1:19" x14ac:dyDescent="0.25">
      <c r="A720" s="268" t="s">
        <v>1836</v>
      </c>
      <c r="B720" s="239">
        <v>30</v>
      </c>
      <c r="C720" s="406" t="str">
        <f ca="1">IF(Tableau3453[[#This Row],[Date 
du paiement]]="",IF(Tableau3453[[#This Row],[Jours]]&gt;Tableau3453[[#This Row],[Conditions
pmt+]]+5,"oui",""),"")</f>
        <v/>
      </c>
      <c r="D720" s="467" t="s">
        <v>1833</v>
      </c>
      <c r="E720" s="240">
        <v>45615</v>
      </c>
      <c r="F720" s="468">
        <v>102.1</v>
      </c>
      <c r="G720" s="501">
        <f>IF(Tableau3453[[#This Row],[Date 
du paiement]]="",Tableau3453[[#This Row],[Montant
de la facture
CHF]],"")</f>
        <v>102.1</v>
      </c>
      <c r="H720" s="243"/>
      <c r="I720" s="459">
        <v>45616</v>
      </c>
      <c r="J720" s="246"/>
      <c r="K720" s="247"/>
      <c r="L720" s="264"/>
      <c r="M720" s="265">
        <f ca="1">IF(Tableau3453[[#This Row],[Date 
du paiement]]="",$D$4-Tableau3453[[#This Row],[Date
de la facture]],Tableau3453[[#This Row],[Date 
du paiement]]-Tableau3453[[#This Row],[Date
de la facture]])</f>
        <v>2.4694253472189303</v>
      </c>
      <c r="N720" s="263">
        <f ca="1">IF(Tableau3453[[#This Row],[Date 
du paiement]]="",IF(Tableau3453[[#This Row],[Jours]]&lt;30,Tableau3453[[#This Row],[Montant
de la facture
CHF]],""),"")</f>
        <v>102.1</v>
      </c>
      <c r="O720" s="263" t="str">
        <f ca="1">IF(Tableau3453[[#This Row],[Date 
du paiement]]="",IF(Tableau3453[[#This Row],[Jours]]&gt;30,IF(Tableau3453[[#This Row],[Jours]]&lt;60,Tableau3453[[#This Row],[Montant
de la facture
CHF]],""),""),"")</f>
        <v/>
      </c>
      <c r="P720" s="263" t="str">
        <f ca="1">IF(Tableau3453[[#This Row],[Date 
du paiement]]="",IF(Tableau3453[[#This Row],[Jours]]&gt;60,Tableau3453[[#This Row],[Montant
de la facture
CHF]],""),"")</f>
        <v/>
      </c>
      <c r="Q720" s="266"/>
      <c r="R720" s="267">
        <f>Tableau3453[[#This Row],[Solde 
ouverte
fm]]</f>
        <v>102.1</v>
      </c>
      <c r="S720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21" spans="1:19" x14ac:dyDescent="0.25">
      <c r="A721" s="268">
        <v>240895</v>
      </c>
      <c r="B721" s="239">
        <v>60</v>
      </c>
      <c r="C721" s="495" t="str">
        <f ca="1">IF(Tableau3453[[#This Row],[Date 
du paiement]]="",IF(Tableau3453[[#This Row],[Jours]]&gt;Tableau3453[[#This Row],[Conditions
pmt+]]+5,"oui",""),"")</f>
        <v/>
      </c>
      <c r="D721" s="498" t="s">
        <v>916</v>
      </c>
      <c r="E721" s="240">
        <v>45560</v>
      </c>
      <c r="F721" s="502">
        <v>23258.7</v>
      </c>
      <c r="G721" s="501">
        <f>IF(Tableau3453[[#This Row],[Date 
du paiement]]="",Tableau3453[[#This Row],[Montant
de la facture
CHF]],"")</f>
        <v>23258.7</v>
      </c>
      <c r="H721" s="243"/>
      <c r="I721" s="245">
        <v>45561</v>
      </c>
      <c r="J721" s="246"/>
      <c r="K721" s="247"/>
      <c r="L721" s="469"/>
      <c r="M721" s="265">
        <f ca="1">IF(Tableau3453[[#This Row],[Date 
du paiement]]="",$D$4-Tableau3453[[#This Row],[Date
de la facture]],Tableau3453[[#This Row],[Date 
du paiement]]-Tableau3453[[#This Row],[Date
de la facture]])</f>
        <v>57.46942534721893</v>
      </c>
      <c r="N721" s="263" t="str">
        <f ca="1">IF(Tableau3453[[#This Row],[Date 
du paiement]]="",IF(Tableau3453[[#This Row],[Jours]]&lt;30,Tableau3453[[#This Row],[Montant
de la facture
CHF]],""),"")</f>
        <v/>
      </c>
      <c r="O721" s="263">
        <f ca="1">IF(Tableau3453[[#This Row],[Date 
du paiement]]="",IF(Tableau3453[[#This Row],[Jours]]&gt;30,IF(Tableau3453[[#This Row],[Jours]]&lt;60,Tableau3453[[#This Row],[Montant
de la facture
CHF]],""),""),"")</f>
        <v>23258.7</v>
      </c>
      <c r="P721" s="263" t="str">
        <f ca="1">IF(Tableau3453[[#This Row],[Date 
du paiement]]="",IF(Tableau3453[[#This Row],[Jours]]&gt;60,Tableau3453[[#This Row],[Montant
de la facture
CHF]],""),"")</f>
        <v/>
      </c>
      <c r="Q721" s="266"/>
      <c r="R721" s="267">
        <f>Tableau3453[[#This Row],[Solde 
ouverte
fm]]</f>
        <v>23258.7</v>
      </c>
      <c r="S721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22" spans="1:19" x14ac:dyDescent="0.25">
      <c r="A722" s="268">
        <v>240948</v>
      </c>
      <c r="B722" s="239" t="s">
        <v>857</v>
      </c>
      <c r="C722" s="495" t="str">
        <f ca="1">IF(Tableau3453[[#This Row],[Date 
du paiement]]="",IF(Tableau3453[[#This Row],[Jours]]&gt;Tableau3453[[#This Row],[Conditions
pmt+]]+5,"oui",""),"")</f>
        <v/>
      </c>
      <c r="D722" s="467" t="s">
        <v>916</v>
      </c>
      <c r="E722" s="240">
        <v>45572</v>
      </c>
      <c r="F722" s="468">
        <v>1614.95</v>
      </c>
      <c r="G722" s="501">
        <f>IF(Tableau3453[[#This Row],[Date 
du paiement]]="",Tableau3453[[#This Row],[Montant
de la facture
CHF]],"")</f>
        <v>1614.95</v>
      </c>
      <c r="H722" s="243"/>
      <c r="I722" s="245">
        <v>45579</v>
      </c>
      <c r="J722" s="246"/>
      <c r="K722" s="247"/>
      <c r="L722" s="469"/>
      <c r="M722" s="265">
        <f ca="1">IF(Tableau3453[[#This Row],[Date 
du paiement]]="",$D$4-Tableau3453[[#This Row],[Date
de la facture]],Tableau3453[[#This Row],[Date 
du paiement]]-Tableau3453[[#This Row],[Date
de la facture]])</f>
        <v>45.46942534721893</v>
      </c>
      <c r="N722" s="263" t="str">
        <f ca="1">IF(Tableau3453[[#This Row],[Date 
du paiement]]="",IF(Tableau3453[[#This Row],[Jours]]&lt;30,Tableau3453[[#This Row],[Montant
de la facture
CHF]],""),"")</f>
        <v/>
      </c>
      <c r="O722" s="263">
        <f ca="1">IF(Tableau3453[[#This Row],[Date 
du paiement]]="",IF(Tableau3453[[#This Row],[Jours]]&gt;30,IF(Tableau3453[[#This Row],[Jours]]&lt;60,Tableau3453[[#This Row],[Montant
de la facture
CHF]],""),""),"")</f>
        <v>1614.95</v>
      </c>
      <c r="P722" s="263" t="str">
        <f ca="1">IF(Tableau3453[[#This Row],[Date 
du paiement]]="",IF(Tableau3453[[#This Row],[Jours]]&gt;60,Tableau3453[[#This Row],[Montant
de la facture
CHF]],""),"")</f>
        <v/>
      </c>
      <c r="Q722" s="266"/>
      <c r="R722" s="267">
        <f>Tableau3453[[#This Row],[Solde 
ouverte
fm]]</f>
        <v>1614.95</v>
      </c>
      <c r="S722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23" spans="1:19" hidden="1" x14ac:dyDescent="0.25">
      <c r="A723" s="268">
        <v>240875</v>
      </c>
      <c r="B723" s="239">
        <v>30</v>
      </c>
      <c r="C723" s="352" t="str">
        <f>IF(Tableau3453[[#This Row],[Date 
du paiement]]="",IF(Tableau3453[[#This Row],[Jours]]&gt;Tableau3453[[#This Row],[Conditions
pmt+]]+5,"oui",""),"")</f>
        <v/>
      </c>
      <c r="D723" s="262" t="s">
        <v>1599</v>
      </c>
      <c r="E723" s="240">
        <v>45566</v>
      </c>
      <c r="F723" s="263">
        <v>64.2</v>
      </c>
      <c r="G723" s="396" t="str">
        <f>IF(Tableau3453[[#This Row],[Date 
du paiement]]="",Tableau3453[[#This Row],[Montant
de la facture
CHF]],"")</f>
        <v/>
      </c>
      <c r="H723" s="243"/>
      <c r="I723" s="245">
        <v>45568</v>
      </c>
      <c r="J723" s="246">
        <v>45593</v>
      </c>
      <c r="K723" s="247" t="s">
        <v>58</v>
      </c>
      <c r="L723" s="264"/>
      <c r="M723" s="265">
        <f>IF(Tableau3453[[#This Row],[Date 
du paiement]]="",$D$4-Tableau3453[[#This Row],[Date
de la facture]],Tableau3453[[#This Row],[Date 
du paiement]]-Tableau3453[[#This Row],[Date
de la facture]])</f>
        <v>27</v>
      </c>
      <c r="N723" s="263" t="str">
        <f>IF(Tableau3453[[#This Row],[Date 
du paiement]]="",IF(Tableau3453[[#This Row],[Jours]]&lt;30,Tableau3453[[#This Row],[Montant
de la facture
CHF]],""),"")</f>
        <v/>
      </c>
      <c r="O723" s="263" t="str">
        <f>IF(Tableau3453[[#This Row],[Date 
du paiement]]="",IF(Tableau3453[[#This Row],[Jours]]&gt;30,IF(Tableau3453[[#This Row],[Jours]]&lt;60,Tableau3453[[#This Row],[Montant
de la facture
CHF]],""),""),"")</f>
        <v/>
      </c>
      <c r="P723" s="263" t="str">
        <f>IF(Tableau3453[[#This Row],[Date 
du paiement]]="",IF(Tableau3453[[#This Row],[Jours]]&gt;60,Tableau3453[[#This Row],[Montant
de la facture
CHF]],""),"")</f>
        <v/>
      </c>
      <c r="Q723" s="266"/>
      <c r="R723" s="267" t="str">
        <f>Tableau3453[[#This Row],[Solde 
ouverte
fm]]</f>
        <v/>
      </c>
      <c r="S72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24" spans="1:19" hidden="1" x14ac:dyDescent="0.25">
      <c r="A724" s="268">
        <v>240741</v>
      </c>
      <c r="B724" s="239">
        <v>30</v>
      </c>
      <c r="C724" s="352" t="str">
        <f>IF(Tableau3453[[#This Row],[Date 
du paiement]]="",IF(Tableau3453[[#This Row],[Jours]]&gt;Tableau3453[[#This Row],[Conditions
pmt+]]+5,"oui",""),"")</f>
        <v/>
      </c>
      <c r="D724" s="262" t="s">
        <v>929</v>
      </c>
      <c r="E724" s="240">
        <v>45539</v>
      </c>
      <c r="F724" s="263">
        <v>610.29999999999995</v>
      </c>
      <c r="G724" s="242" t="str">
        <f>IF(Tableau3453[[#This Row],[Date 
du paiement]]="",Tableau3453[[#This Row],[Montant
de la facture
CHF]],"")</f>
        <v/>
      </c>
      <c r="H724" s="243"/>
      <c r="I724" s="245">
        <v>45540</v>
      </c>
      <c r="J724" s="246">
        <v>45589</v>
      </c>
      <c r="K724" s="247" t="s">
        <v>58</v>
      </c>
      <c r="L724" s="264">
        <v>2</v>
      </c>
      <c r="M724" s="265">
        <f>IF(Tableau3453[[#This Row],[Date 
du paiement]]="",$D$4-Tableau3453[[#This Row],[Date
de la facture]],Tableau3453[[#This Row],[Date 
du paiement]]-Tableau3453[[#This Row],[Date
de la facture]])</f>
        <v>50</v>
      </c>
      <c r="N724" s="263" t="str">
        <f>IF(Tableau3453[[#This Row],[Date 
du paiement]]="",IF(Tableau3453[[#This Row],[Jours]]&lt;30,Tableau3453[[#This Row],[Montant
de la facture
CHF]],""),"")</f>
        <v/>
      </c>
      <c r="O724" s="263" t="str">
        <f>IF(Tableau3453[[#This Row],[Date 
du paiement]]="",IF(Tableau3453[[#This Row],[Jours]]&gt;30,IF(Tableau3453[[#This Row],[Jours]]&lt;60,Tableau3453[[#This Row],[Montant
de la facture
CHF]],""),""),"")</f>
        <v/>
      </c>
      <c r="P724" s="263" t="str">
        <f>IF(Tableau3453[[#This Row],[Date 
du paiement]]="",IF(Tableau3453[[#This Row],[Jours]]&gt;60,Tableau3453[[#This Row],[Montant
de la facture
CHF]],""),"")</f>
        <v/>
      </c>
      <c r="Q724" s="266"/>
      <c r="R724" s="267" t="str">
        <f>Tableau3453[[#This Row],[Solde 
ouverte
fm]]</f>
        <v/>
      </c>
      <c r="S72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25" spans="1:19" x14ac:dyDescent="0.25">
      <c r="A725" s="268">
        <v>240900</v>
      </c>
      <c r="B725" s="239">
        <v>60</v>
      </c>
      <c r="C725" s="505" t="str">
        <f ca="1">IF(Tableau3453[[#This Row],[Date 
du paiement]]="",IF(Tableau3453[[#This Row],[Jours]]&gt;Tableau3453[[#This Row],[Conditions
pmt+]]+5,"oui",""),"")</f>
        <v/>
      </c>
      <c r="D725" s="467" t="s">
        <v>916</v>
      </c>
      <c r="E725" s="240">
        <v>45573</v>
      </c>
      <c r="F725" s="468">
        <v>4350.25</v>
      </c>
      <c r="G725" s="501">
        <f>IF(Tableau3453[[#This Row],[Date 
du paiement]]="",Tableau3453[[#This Row],[Montant
de la facture
CHF]],"")</f>
        <v>4350.25</v>
      </c>
      <c r="H725" s="243"/>
      <c r="I725" s="245">
        <v>45579</v>
      </c>
      <c r="J725" s="246"/>
      <c r="K725" s="247"/>
      <c r="L725" s="469"/>
      <c r="M725" s="265">
        <f ca="1">IF(Tableau3453[[#This Row],[Date 
du paiement]]="",$D$4-Tableau3453[[#This Row],[Date
de la facture]],Tableau3453[[#This Row],[Date 
du paiement]]-Tableau3453[[#This Row],[Date
de la facture]])</f>
        <v>44.46942534721893</v>
      </c>
      <c r="N725" s="263" t="str">
        <f ca="1">IF(Tableau3453[[#This Row],[Date 
du paiement]]="",IF(Tableau3453[[#This Row],[Jours]]&lt;30,Tableau3453[[#This Row],[Montant
de la facture
CHF]],""),"")</f>
        <v/>
      </c>
      <c r="O725" s="263">
        <f ca="1">IF(Tableau3453[[#This Row],[Date 
du paiement]]="",IF(Tableau3453[[#This Row],[Jours]]&gt;30,IF(Tableau3453[[#This Row],[Jours]]&lt;60,Tableau3453[[#This Row],[Montant
de la facture
CHF]],""),""),"")</f>
        <v>4350.25</v>
      </c>
      <c r="P725" s="263" t="str">
        <f ca="1">IF(Tableau3453[[#This Row],[Date 
du paiement]]="",IF(Tableau3453[[#This Row],[Jours]]&gt;60,Tableau3453[[#This Row],[Montant
de la facture
CHF]],""),"")</f>
        <v/>
      </c>
      <c r="Q725" s="266"/>
      <c r="R725" s="267">
        <f>Tableau3453[[#This Row],[Solde 
ouverte
fm]]</f>
        <v>4350.25</v>
      </c>
      <c r="S72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26" spans="1:19" x14ac:dyDescent="0.25">
      <c r="A726" s="473">
        <v>241098</v>
      </c>
      <c r="B726" s="454" t="s">
        <v>857</v>
      </c>
      <c r="C726" s="505" t="str">
        <f ca="1">IF(Tableau3453[[#This Row],[Date 
du paiement]]="",IF(Tableau3453[[#This Row],[Jours]]&gt;Tableau3453[[#This Row],[Conditions
pmt+]]+5,"oui",""),"")</f>
        <v/>
      </c>
      <c r="D726" s="467" t="s">
        <v>916</v>
      </c>
      <c r="E726" s="455">
        <v>45616</v>
      </c>
      <c r="F726" s="468">
        <v>1340.8</v>
      </c>
      <c r="G726" s="501">
        <f>IF(Tableau3453[[#This Row],[Date 
du paiement]]="",Tableau3453[[#This Row],[Montant
de la facture
CHF]],"")</f>
        <v>1340.8</v>
      </c>
      <c r="H726" s="458"/>
      <c r="I726" s="459">
        <v>45617</v>
      </c>
      <c r="J726" s="460"/>
      <c r="K726" s="461"/>
      <c r="L726" s="469"/>
      <c r="M726" s="470">
        <f ca="1">IF(Tableau3453[[#This Row],[Date 
du paiement]]="",$D$4-Tableau3453[[#This Row],[Date
de la facture]],Tableau3453[[#This Row],[Date 
du paiement]]-Tableau3453[[#This Row],[Date
de la facture]])</f>
        <v>1.4694253472189303</v>
      </c>
      <c r="N726" s="468">
        <f ca="1">IF(Tableau3453[[#This Row],[Date 
du paiement]]="",IF(Tableau3453[[#This Row],[Jours]]&lt;30,Tableau3453[[#This Row],[Montant
de la facture
CHF]],""),"")</f>
        <v>1340.8</v>
      </c>
      <c r="O726" s="468" t="str">
        <f ca="1">IF(Tableau3453[[#This Row],[Date 
du paiement]]="",IF(Tableau3453[[#This Row],[Jours]]&gt;30,IF(Tableau3453[[#This Row],[Jours]]&lt;60,Tableau3453[[#This Row],[Montant
de la facture
CHF]],""),""),"")</f>
        <v/>
      </c>
      <c r="P726" s="468" t="str">
        <f ca="1">IF(Tableau3453[[#This Row],[Date 
du paiement]]="",IF(Tableau3453[[#This Row],[Jours]]&gt;60,Tableau3453[[#This Row],[Montant
de la facture
CHF]],""),"")</f>
        <v/>
      </c>
      <c r="Q726" s="471"/>
      <c r="R726" s="472">
        <f>Tableau3453[[#This Row],[Solde 
ouverte
fm]]</f>
        <v>1340.8</v>
      </c>
      <c r="S726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27" spans="1:19" x14ac:dyDescent="0.25">
      <c r="A727" s="268">
        <v>241027</v>
      </c>
      <c r="B727" s="239">
        <v>30</v>
      </c>
      <c r="C727" s="406" t="str">
        <f ca="1">IF(Tableau3453[[#This Row],[Date 
du paiement]]="",IF(Tableau3453[[#This Row],[Jours]]&gt;Tableau3453[[#This Row],[Conditions
pmt+]]+5,"oui",""),"")</f>
        <v/>
      </c>
      <c r="D727" s="262" t="s">
        <v>1728</v>
      </c>
      <c r="E727" s="240">
        <v>45596</v>
      </c>
      <c r="F727" s="263">
        <v>197.7</v>
      </c>
      <c r="G727" s="396">
        <f>IF(Tableau3453[[#This Row],[Date 
du paiement]]="",Tableau3453[[#This Row],[Montant
de la facture
CHF]],"")</f>
        <v>197.7</v>
      </c>
      <c r="H727" s="243"/>
      <c r="I727" s="245">
        <v>45597</v>
      </c>
      <c r="J727" s="246"/>
      <c r="K727" s="247"/>
      <c r="L727" s="264"/>
      <c r="M727" s="265">
        <f ca="1">IF(Tableau3453[[#This Row],[Date 
du paiement]]="",$D$4-Tableau3453[[#This Row],[Date
de la facture]],Tableau3453[[#This Row],[Date 
du paiement]]-Tableau3453[[#This Row],[Date
de la facture]])</f>
        <v>21.46942534721893</v>
      </c>
      <c r="N727" s="263">
        <f ca="1">IF(Tableau3453[[#This Row],[Date 
du paiement]]="",IF(Tableau3453[[#This Row],[Jours]]&lt;30,Tableau3453[[#This Row],[Montant
de la facture
CHF]],""),"")</f>
        <v>197.7</v>
      </c>
      <c r="O727" s="263" t="str">
        <f ca="1">IF(Tableau3453[[#This Row],[Date 
du paiement]]="",IF(Tableau3453[[#This Row],[Jours]]&gt;30,IF(Tableau3453[[#This Row],[Jours]]&lt;60,Tableau3453[[#This Row],[Montant
de la facture
CHF]],""),""),"")</f>
        <v/>
      </c>
      <c r="P727" s="263" t="str">
        <f ca="1">IF(Tableau3453[[#This Row],[Date 
du paiement]]="",IF(Tableau3453[[#This Row],[Jours]]&gt;60,Tableau3453[[#This Row],[Montant
de la facture
CHF]],""),"")</f>
        <v/>
      </c>
      <c r="Q727" s="266"/>
      <c r="R727" s="267">
        <f>Tableau3453[[#This Row],[Solde 
ouverte
fm]]</f>
        <v>197.7</v>
      </c>
      <c r="S727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28" spans="1:19" x14ac:dyDescent="0.25">
      <c r="A728" s="268">
        <v>240881</v>
      </c>
      <c r="B728" s="239" t="s">
        <v>1615</v>
      </c>
      <c r="C728" s="505" t="str">
        <f ca="1">IF(Tableau3453[[#This Row],[Date 
du paiement]]="",IF(Tableau3453[[#This Row],[Jours]]&gt;Tableau3453[[#This Row],[Conditions
pmt+]]+5,"oui",""),"")</f>
        <v>oui</v>
      </c>
      <c r="D728" s="498" t="s">
        <v>1504</v>
      </c>
      <c r="E728" s="240">
        <v>45547</v>
      </c>
      <c r="F728" s="499">
        <v>721.9</v>
      </c>
      <c r="G728" s="457">
        <f>IF(Tableau3453[[#This Row],[Date 
du paiement]]="",Tableau3453[[#This Row],[Montant
de la facture
CHF]],"")</f>
        <v>721.9</v>
      </c>
      <c r="H728" s="243" t="s">
        <v>1712</v>
      </c>
      <c r="I728" s="245">
        <v>45548</v>
      </c>
      <c r="J728" s="246"/>
      <c r="K728" s="247"/>
      <c r="L728" s="469">
        <v>3</v>
      </c>
      <c r="M728" s="265">
        <f ca="1">IF(Tableau3453[[#This Row],[Date 
du paiement]]="",$D$4-Tableau3453[[#This Row],[Date
de la facture]],Tableau3453[[#This Row],[Date 
du paiement]]-Tableau3453[[#This Row],[Date
de la facture]])</f>
        <v>70.46942534721893</v>
      </c>
      <c r="N728" s="263" t="str">
        <f ca="1">IF(Tableau3453[[#This Row],[Date 
du paiement]]="",IF(Tableau3453[[#This Row],[Jours]]&lt;30,Tableau3453[[#This Row],[Montant
de la facture
CHF]],""),"")</f>
        <v/>
      </c>
      <c r="O728" s="263" t="str">
        <f ca="1">IF(Tableau3453[[#This Row],[Date 
du paiement]]="",IF(Tableau3453[[#This Row],[Jours]]&gt;30,IF(Tableau3453[[#This Row],[Jours]]&lt;60,Tableau3453[[#This Row],[Montant
de la facture
CHF]],""),""),"")</f>
        <v/>
      </c>
      <c r="P728" s="263">
        <f ca="1">IF(Tableau3453[[#This Row],[Date 
du paiement]]="",IF(Tableau3453[[#This Row],[Jours]]&gt;60,Tableau3453[[#This Row],[Montant
de la facture
CHF]],""),"")</f>
        <v>721.9</v>
      </c>
      <c r="Q728" s="266"/>
      <c r="R728" s="267">
        <f>Tableau3453[[#This Row],[Solde 
ouverte
fm]]</f>
        <v>721.9</v>
      </c>
      <c r="S728" s="263">
        <f ca="1">IF(Tableau3453[[#This Row],[Date 
du paiement]]="",IF(Tableau3453[[#This Row],[Jours]]-Tableau3453[[#This Row],[Conditions
pmt+]]&gt;0,Tableau3453[[#This Row],[Montant
de la facture
CHF]],"0.00"),"0.00")</f>
        <v>721.9</v>
      </c>
    </row>
    <row r="729" spans="1:19" x14ac:dyDescent="0.25">
      <c r="A729" s="268">
        <v>240882</v>
      </c>
      <c r="B729" s="239" t="s">
        <v>1616</v>
      </c>
      <c r="C729" s="505" t="str">
        <f ca="1">IF(Tableau3453[[#This Row],[Date 
du paiement]]="",IF(Tableau3453[[#This Row],[Jours]]&gt;Tableau3453[[#This Row],[Conditions
pmt+]]+5,"oui",""),"")</f>
        <v/>
      </c>
      <c r="D729" s="498" t="s">
        <v>1504</v>
      </c>
      <c r="E729" s="240">
        <v>45547</v>
      </c>
      <c r="F729" s="499">
        <v>721.9</v>
      </c>
      <c r="G729" s="457">
        <f>IF(Tableau3453[[#This Row],[Date 
du paiement]]="",Tableau3453[[#This Row],[Montant
de la facture
CHF]],"")</f>
        <v>721.9</v>
      </c>
      <c r="H729" s="243" t="s">
        <v>1713</v>
      </c>
      <c r="I729" s="459">
        <v>45548</v>
      </c>
      <c r="J729" s="246"/>
      <c r="K729" s="247"/>
      <c r="L729" s="469"/>
      <c r="M729" s="265">
        <f ca="1">IF(Tableau3453[[#This Row],[Date 
du paiement]]="",$D$4-Tableau3453[[#This Row],[Date
de la facture]],Tableau3453[[#This Row],[Date 
du paiement]]-Tableau3453[[#This Row],[Date
de la facture]])</f>
        <v>70.46942534721893</v>
      </c>
      <c r="N729" s="263" t="str">
        <f ca="1">IF(Tableau3453[[#This Row],[Date 
du paiement]]="",IF(Tableau3453[[#This Row],[Jours]]&lt;30,Tableau3453[[#This Row],[Montant
de la facture
CHF]],""),"")</f>
        <v/>
      </c>
      <c r="O729" s="263" t="str">
        <f ca="1">IF(Tableau3453[[#This Row],[Date 
du paiement]]="",IF(Tableau3453[[#This Row],[Jours]]&gt;30,IF(Tableau3453[[#This Row],[Jours]]&lt;60,Tableau3453[[#This Row],[Montant
de la facture
CHF]],""),""),"")</f>
        <v/>
      </c>
      <c r="P729" s="263">
        <f ca="1">IF(Tableau3453[[#This Row],[Date 
du paiement]]="",IF(Tableau3453[[#This Row],[Jours]]&gt;60,Tableau3453[[#This Row],[Montant
de la facture
CHF]],""),"")</f>
        <v>721.9</v>
      </c>
      <c r="Q729" s="266"/>
      <c r="R729" s="267">
        <f>Tableau3453[[#This Row],[Solde 
ouverte
fm]]</f>
        <v>721.9</v>
      </c>
      <c r="S729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0" spans="1:19" x14ac:dyDescent="0.25">
      <c r="A730" s="268">
        <v>240883</v>
      </c>
      <c r="B730" s="239" t="s">
        <v>1617</v>
      </c>
      <c r="C730" s="505" t="str">
        <f ca="1">IF(Tableau3453[[#This Row],[Date 
du paiement]]="",IF(Tableau3453[[#This Row],[Jours]]&gt;Tableau3453[[#This Row],[Conditions
pmt+]]+5,"oui",""),"")</f>
        <v/>
      </c>
      <c r="D730" s="498" t="s">
        <v>1504</v>
      </c>
      <c r="E730" s="240">
        <v>45547</v>
      </c>
      <c r="F730" s="499">
        <v>721.9</v>
      </c>
      <c r="G730" s="457">
        <f>IF(Tableau3453[[#This Row],[Date 
du paiement]]="",Tableau3453[[#This Row],[Montant
de la facture
CHF]],"")</f>
        <v>721.9</v>
      </c>
      <c r="H730" s="243" t="s">
        <v>1716</v>
      </c>
      <c r="I730" s="459">
        <v>45548</v>
      </c>
      <c r="J730" s="246"/>
      <c r="K730" s="247"/>
      <c r="L730" s="469"/>
      <c r="M730" s="265">
        <f ca="1">IF(Tableau3453[[#This Row],[Date 
du paiement]]="",$D$4-Tableau3453[[#This Row],[Date
de la facture]],Tableau3453[[#This Row],[Date 
du paiement]]-Tableau3453[[#This Row],[Date
de la facture]])</f>
        <v>70.46942534721893</v>
      </c>
      <c r="N730" s="263" t="str">
        <f ca="1">IF(Tableau3453[[#This Row],[Date 
du paiement]]="",IF(Tableau3453[[#This Row],[Jours]]&lt;30,Tableau3453[[#This Row],[Montant
de la facture
CHF]],""),"")</f>
        <v/>
      </c>
      <c r="O730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0" s="263">
        <f ca="1">IF(Tableau3453[[#This Row],[Date 
du paiement]]="",IF(Tableau3453[[#This Row],[Jours]]&gt;60,Tableau3453[[#This Row],[Montant
de la facture
CHF]],""),"")</f>
        <v>721.9</v>
      </c>
      <c r="Q730" s="266"/>
      <c r="R730" s="267">
        <f>Tableau3453[[#This Row],[Solde 
ouverte
fm]]</f>
        <v>721.9</v>
      </c>
      <c r="S730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1" spans="1:19" hidden="1" x14ac:dyDescent="0.25">
      <c r="A731" s="268">
        <v>240838</v>
      </c>
      <c r="B731" s="239">
        <v>60</v>
      </c>
      <c r="C731" s="352" t="str">
        <f>IF(Tableau3453[[#This Row],[Date 
du paiement]]="",IF(Tableau3453[[#This Row],[Jours]]&gt;Tableau3453[[#This Row],[Conditions
pmt+]]+5,"oui",""),"")</f>
        <v/>
      </c>
      <c r="D731" s="262" t="s">
        <v>925</v>
      </c>
      <c r="E731" s="240">
        <v>45539</v>
      </c>
      <c r="F731" s="263">
        <v>2299.4499999999998</v>
      </c>
      <c r="G731" s="242" t="str">
        <f>IF(Tableau3453[[#This Row],[Date 
du paiement]]="",Tableau3453[[#This Row],[Montant
de la facture
CHF]],"")</f>
        <v/>
      </c>
      <c r="H731" s="243"/>
      <c r="I731" s="245">
        <v>45540</v>
      </c>
      <c r="J731" s="246">
        <v>45601</v>
      </c>
      <c r="K731" s="247" t="s">
        <v>58</v>
      </c>
      <c r="L731" s="264"/>
      <c r="M731" s="265">
        <f>IF(Tableau3453[[#This Row],[Date 
du paiement]]="",$D$4-Tableau3453[[#This Row],[Date
de la facture]],Tableau3453[[#This Row],[Date 
du paiement]]-Tableau3453[[#This Row],[Date
de la facture]])</f>
        <v>62</v>
      </c>
      <c r="N731" s="263" t="str">
        <f>IF(Tableau3453[[#This Row],[Date 
du paiement]]="",IF(Tableau3453[[#This Row],[Jours]]&lt;30,Tableau3453[[#This Row],[Montant
de la facture
CHF]],""),"")</f>
        <v/>
      </c>
      <c r="O731" s="263" t="str">
        <f>IF(Tableau3453[[#This Row],[Date 
du paiement]]="",IF(Tableau3453[[#This Row],[Jours]]&gt;30,IF(Tableau3453[[#This Row],[Jours]]&lt;60,Tableau3453[[#This Row],[Montant
de la facture
CHF]],""),""),"")</f>
        <v/>
      </c>
      <c r="P731" s="263" t="str">
        <f>IF(Tableau3453[[#This Row],[Date 
du paiement]]="",IF(Tableau3453[[#This Row],[Jours]]&gt;60,Tableau3453[[#This Row],[Montant
de la facture
CHF]],""),"")</f>
        <v/>
      </c>
      <c r="Q731" s="266"/>
      <c r="R731" s="267" t="str">
        <f>Tableau3453[[#This Row],[Solde 
ouverte
fm]]</f>
        <v/>
      </c>
      <c r="S73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32" spans="1:19" hidden="1" x14ac:dyDescent="0.25">
      <c r="A732" s="268">
        <v>240853</v>
      </c>
      <c r="B732" s="239" t="s">
        <v>857</v>
      </c>
      <c r="C732" s="352" t="str">
        <f>IF(Tableau3453[[#This Row],[Date 
du paiement]]="",IF(Tableau3453[[#This Row],[Jours]]&gt;Tableau3453[[#This Row],[Conditions
pmt+]]+5,"oui",""),"")</f>
        <v/>
      </c>
      <c r="D732" s="262" t="s">
        <v>925</v>
      </c>
      <c r="E732" s="240">
        <v>45544</v>
      </c>
      <c r="F732" s="263">
        <v>1403.35</v>
      </c>
      <c r="G732" s="242" t="str">
        <f>IF(Tableau3453[[#This Row],[Date 
du paiement]]="",Tableau3453[[#This Row],[Montant
de la facture
CHF]],"")</f>
        <v/>
      </c>
      <c r="H732" s="243"/>
      <c r="I732" s="245">
        <v>45545</v>
      </c>
      <c r="J732" s="246">
        <v>45601</v>
      </c>
      <c r="K732" s="247" t="s">
        <v>58</v>
      </c>
      <c r="L732" s="264"/>
      <c r="M732" s="265">
        <f>IF(Tableau3453[[#This Row],[Date 
du paiement]]="",$D$4-Tableau3453[[#This Row],[Date
de la facture]],Tableau3453[[#This Row],[Date 
du paiement]]-Tableau3453[[#This Row],[Date
de la facture]])</f>
        <v>57</v>
      </c>
      <c r="N732" s="263" t="str">
        <f>IF(Tableau3453[[#This Row],[Date 
du paiement]]="",IF(Tableau3453[[#This Row],[Jours]]&lt;30,Tableau3453[[#This Row],[Montant
de la facture
CHF]],""),"")</f>
        <v/>
      </c>
      <c r="O732" s="263" t="str">
        <f>IF(Tableau3453[[#This Row],[Date 
du paiement]]="",IF(Tableau3453[[#This Row],[Jours]]&gt;30,IF(Tableau3453[[#This Row],[Jours]]&lt;60,Tableau3453[[#This Row],[Montant
de la facture
CHF]],""),""),"")</f>
        <v/>
      </c>
      <c r="P732" s="263" t="str">
        <f>IF(Tableau3453[[#This Row],[Date 
du paiement]]="",IF(Tableau3453[[#This Row],[Jours]]&gt;60,Tableau3453[[#This Row],[Montant
de la facture
CHF]],""),"")</f>
        <v/>
      </c>
      <c r="Q732" s="266"/>
      <c r="R732" s="267" t="str">
        <f>Tableau3453[[#This Row],[Solde 
ouverte
fm]]</f>
        <v/>
      </c>
      <c r="S732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33" spans="1:19" x14ac:dyDescent="0.25">
      <c r="A733" s="268">
        <v>240884</v>
      </c>
      <c r="B733" s="239" t="s">
        <v>1618</v>
      </c>
      <c r="C733" s="505" t="str">
        <f ca="1">IF(Tableau3453[[#This Row],[Date 
du paiement]]="",IF(Tableau3453[[#This Row],[Jours]]&gt;Tableau3453[[#This Row],[Conditions
pmt+]]+5,"oui",""),"")</f>
        <v/>
      </c>
      <c r="D733" s="498" t="s">
        <v>1504</v>
      </c>
      <c r="E733" s="240">
        <v>45547</v>
      </c>
      <c r="F733" s="499">
        <v>721.9</v>
      </c>
      <c r="G733" s="457">
        <f>IF(Tableau3453[[#This Row],[Date 
du paiement]]="",Tableau3453[[#This Row],[Montant
de la facture
CHF]],"")</f>
        <v>721.9</v>
      </c>
      <c r="H733" s="243" t="s">
        <v>1714</v>
      </c>
      <c r="I733" s="245">
        <v>45548</v>
      </c>
      <c r="J733" s="246"/>
      <c r="K733" s="247"/>
      <c r="L733" s="469"/>
      <c r="M733" s="265">
        <f ca="1">IF(Tableau3453[[#This Row],[Date 
du paiement]]="",$D$4-Tableau3453[[#This Row],[Date
de la facture]],Tableau3453[[#This Row],[Date 
du paiement]]-Tableau3453[[#This Row],[Date
de la facture]])</f>
        <v>70.46942534721893</v>
      </c>
      <c r="N733" s="263" t="str">
        <f ca="1">IF(Tableau3453[[#This Row],[Date 
du paiement]]="",IF(Tableau3453[[#This Row],[Jours]]&lt;30,Tableau3453[[#This Row],[Montant
de la facture
CHF]],""),"")</f>
        <v/>
      </c>
      <c r="O733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3" s="263">
        <f ca="1">IF(Tableau3453[[#This Row],[Date 
du paiement]]="",IF(Tableau3453[[#This Row],[Jours]]&gt;60,Tableau3453[[#This Row],[Montant
de la facture
CHF]],""),"")</f>
        <v>721.9</v>
      </c>
      <c r="Q733" s="266"/>
      <c r="R733" s="267">
        <f>Tableau3453[[#This Row],[Solde 
ouverte
fm]]</f>
        <v>721.9</v>
      </c>
      <c r="S733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4" spans="1:19" x14ac:dyDescent="0.25">
      <c r="A734" s="268">
        <v>240885</v>
      </c>
      <c r="B734" s="239" t="s">
        <v>1578</v>
      </c>
      <c r="C734" s="505" t="str">
        <f ca="1">IF(Tableau3453[[#This Row],[Date 
du paiement]]="",IF(Tableau3453[[#This Row],[Jours]]&gt;Tableau3453[[#This Row],[Conditions
pmt+]]+5,"oui",""),"")</f>
        <v/>
      </c>
      <c r="D734" s="498" t="s">
        <v>1504</v>
      </c>
      <c r="E734" s="240">
        <v>45547</v>
      </c>
      <c r="F734" s="499">
        <v>721.9</v>
      </c>
      <c r="G734" s="457">
        <f>IF(Tableau3453[[#This Row],[Date 
du paiement]]="",Tableau3453[[#This Row],[Montant
de la facture
CHF]],"")</f>
        <v>721.9</v>
      </c>
      <c r="H734" s="243" t="s">
        <v>1715</v>
      </c>
      <c r="I734" s="245">
        <v>45548</v>
      </c>
      <c r="J734" s="246"/>
      <c r="K734" s="247"/>
      <c r="L734" s="264"/>
      <c r="M734" s="265">
        <f ca="1">IF(Tableau3453[[#This Row],[Date 
du paiement]]="",$D$4-Tableau3453[[#This Row],[Date
de la facture]],Tableau3453[[#This Row],[Date 
du paiement]]-Tableau3453[[#This Row],[Date
de la facture]])</f>
        <v>70.46942534721893</v>
      </c>
      <c r="N734" s="263" t="str">
        <f ca="1">IF(Tableau3453[[#This Row],[Date 
du paiement]]="",IF(Tableau3453[[#This Row],[Jours]]&lt;30,Tableau3453[[#This Row],[Montant
de la facture
CHF]],""),"")</f>
        <v/>
      </c>
      <c r="O734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4" s="263">
        <f ca="1">IF(Tableau3453[[#This Row],[Date 
du paiement]]="",IF(Tableau3453[[#This Row],[Jours]]&gt;60,Tableau3453[[#This Row],[Montant
de la facture
CHF]],""),"")</f>
        <v>721.9</v>
      </c>
      <c r="Q734" s="266"/>
      <c r="R734" s="267">
        <f>Tableau3453[[#This Row],[Solde 
ouverte
fm]]</f>
        <v>721.9</v>
      </c>
      <c r="S734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5" spans="1:19" x14ac:dyDescent="0.25">
      <c r="A735" s="268">
        <v>241030</v>
      </c>
      <c r="B735" s="239">
        <v>30</v>
      </c>
      <c r="C735" s="505" t="str">
        <f ca="1">IF(Tableau3453[[#This Row],[Date 
du paiement]]="",IF(Tableau3453[[#This Row],[Jours]]&gt;Tableau3453[[#This Row],[Conditions
pmt+]]+5,"oui",""),"")</f>
        <v/>
      </c>
      <c r="D735" s="467" t="s">
        <v>1182</v>
      </c>
      <c r="E735" s="240">
        <v>45600</v>
      </c>
      <c r="F735" s="468">
        <v>1415.9</v>
      </c>
      <c r="G735" s="501">
        <f>IF(Tableau3453[[#This Row],[Date 
du paiement]]="",Tableau3453[[#This Row],[Montant
de la facture
CHF]],"")</f>
        <v>1415.9</v>
      </c>
      <c r="H735" s="243"/>
      <c r="I735" s="245">
        <v>45602</v>
      </c>
      <c r="J735" s="246"/>
      <c r="K735" s="247"/>
      <c r="L735" s="264"/>
      <c r="M735" s="265">
        <f ca="1">IF(Tableau3453[[#This Row],[Date 
du paiement]]="",$D$4-Tableau3453[[#This Row],[Date
de la facture]],Tableau3453[[#This Row],[Date 
du paiement]]-Tableau3453[[#This Row],[Date
de la facture]])</f>
        <v>17.46942534721893</v>
      </c>
      <c r="N735" s="263">
        <f ca="1">IF(Tableau3453[[#This Row],[Date 
du paiement]]="",IF(Tableau3453[[#This Row],[Jours]]&lt;30,Tableau3453[[#This Row],[Montant
de la facture
CHF]],""),"")</f>
        <v>1415.9</v>
      </c>
      <c r="O735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5" s="263" t="str">
        <f ca="1">IF(Tableau3453[[#This Row],[Date 
du paiement]]="",IF(Tableau3453[[#This Row],[Jours]]&gt;60,Tableau3453[[#This Row],[Montant
de la facture
CHF]],""),"")</f>
        <v/>
      </c>
      <c r="Q735" s="266"/>
      <c r="R735" s="267">
        <f>Tableau3453[[#This Row],[Solde 
ouverte
fm]]</f>
        <v>1415.9</v>
      </c>
      <c r="S735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6" spans="1:19" hidden="1" x14ac:dyDescent="0.25">
      <c r="A736" s="268">
        <v>241016</v>
      </c>
      <c r="B736" s="239" t="s">
        <v>860</v>
      </c>
      <c r="C736" s="352" t="str">
        <f>IF(Tableau3453[[#This Row],[Date 
du paiement]]="",IF(Tableau3453[[#This Row],[Jours]]&gt;Tableau3453[[#This Row],[Conditions
pmt+]]+5,"oui",""),"")</f>
        <v/>
      </c>
      <c r="D736" s="262" t="s">
        <v>1709</v>
      </c>
      <c r="E736" s="240">
        <v>45593</v>
      </c>
      <c r="F736" s="263">
        <v>262.7</v>
      </c>
      <c r="G736" s="242" t="str">
        <f>IF(Tableau3453[[#This Row],[Date 
du paiement]]="",Tableau3453[[#This Row],[Montant
de la facture
CHF]],"")</f>
        <v/>
      </c>
      <c r="H736" s="243"/>
      <c r="I736" s="245">
        <v>45593</v>
      </c>
      <c r="J736" s="246">
        <v>45594</v>
      </c>
      <c r="K736" s="247" t="s">
        <v>58</v>
      </c>
      <c r="L736" s="264"/>
      <c r="M736" s="265">
        <f>IF(Tableau3453[[#This Row],[Date 
du paiement]]="",$D$4-Tableau3453[[#This Row],[Date
de la facture]],Tableau3453[[#This Row],[Date 
du paiement]]-Tableau3453[[#This Row],[Date
de la facture]])</f>
        <v>1</v>
      </c>
      <c r="N736" s="263" t="str">
        <f>IF(Tableau3453[[#This Row],[Date 
du paiement]]="",IF(Tableau3453[[#This Row],[Jours]]&lt;30,Tableau3453[[#This Row],[Montant
de la facture
CHF]],""),"")</f>
        <v/>
      </c>
      <c r="O736" s="263" t="str">
        <f>IF(Tableau3453[[#This Row],[Date 
du paiement]]="",IF(Tableau3453[[#This Row],[Jours]]&gt;30,IF(Tableau3453[[#This Row],[Jours]]&lt;60,Tableau3453[[#This Row],[Montant
de la facture
CHF]],""),""),"")</f>
        <v/>
      </c>
      <c r="P736" s="263" t="str">
        <f>IF(Tableau3453[[#This Row],[Date 
du paiement]]="",IF(Tableau3453[[#This Row],[Jours]]&gt;60,Tableau3453[[#This Row],[Montant
de la facture
CHF]],""),"")</f>
        <v/>
      </c>
      <c r="Q736" s="266"/>
      <c r="R736" s="267" t="str">
        <f>Tableau3453[[#This Row],[Solde 
ouverte
fm]]</f>
        <v/>
      </c>
      <c r="S736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37" spans="1:19" x14ac:dyDescent="0.25">
      <c r="A737" s="268">
        <v>241044</v>
      </c>
      <c r="B737" s="239">
        <v>30</v>
      </c>
      <c r="C737" s="505" t="str">
        <f ca="1">IF(Tableau3453[[#This Row],[Date 
du paiement]]="",IF(Tableau3453[[#This Row],[Jours]]&gt;Tableau3453[[#This Row],[Conditions
pmt+]]+5,"oui",""),"")</f>
        <v/>
      </c>
      <c r="D737" s="467" t="s">
        <v>1182</v>
      </c>
      <c r="E737" s="455">
        <v>45601</v>
      </c>
      <c r="F737" s="468">
        <v>746.8</v>
      </c>
      <c r="G737" s="501">
        <f>IF(Tableau3453[[#This Row],[Date 
du paiement]]="",Tableau3453[[#This Row],[Montant
de la facture
CHF]],"")</f>
        <v>746.8</v>
      </c>
      <c r="H737" s="243"/>
      <c r="I737" s="245">
        <v>45602</v>
      </c>
      <c r="J737" s="246"/>
      <c r="K737" s="247"/>
      <c r="L737" s="264"/>
      <c r="M737" s="265">
        <f ca="1">IF(Tableau3453[[#This Row],[Date 
du paiement]]="",$D$4-Tableau3453[[#This Row],[Date
de la facture]],Tableau3453[[#This Row],[Date 
du paiement]]-Tableau3453[[#This Row],[Date
de la facture]])</f>
        <v>16.46942534721893</v>
      </c>
      <c r="N737" s="263">
        <f ca="1">IF(Tableau3453[[#This Row],[Date 
du paiement]]="",IF(Tableau3453[[#This Row],[Jours]]&lt;30,Tableau3453[[#This Row],[Montant
de la facture
CHF]],""),"")</f>
        <v>746.8</v>
      </c>
      <c r="O737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7" s="263" t="str">
        <f ca="1">IF(Tableau3453[[#This Row],[Date 
du paiement]]="",IF(Tableau3453[[#This Row],[Jours]]&gt;60,Tableau3453[[#This Row],[Montant
de la facture
CHF]],""),"")</f>
        <v/>
      </c>
      <c r="Q737" s="266"/>
      <c r="R737" s="267">
        <f>Tableau3453[[#This Row],[Solde 
ouverte
fm]]</f>
        <v>746.8</v>
      </c>
      <c r="S737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8" spans="1:19" outlineLevel="1" x14ac:dyDescent="0.25">
      <c r="A738" s="268">
        <v>241034</v>
      </c>
      <c r="B738" s="239">
        <v>30</v>
      </c>
      <c r="C738" s="505" t="str">
        <f ca="1">IF(Tableau3453[[#This Row],[Date 
du paiement]]="",IF(Tableau3453[[#This Row],[Jours]]&gt;Tableau3453[[#This Row],[Conditions
pmt+]]+5,"oui",""),"")</f>
        <v/>
      </c>
      <c r="D738" s="262" t="s">
        <v>902</v>
      </c>
      <c r="E738" s="240">
        <v>45601</v>
      </c>
      <c r="F738" s="468">
        <v>1218.25</v>
      </c>
      <c r="G738" s="501">
        <f>IF(Tableau3453[[#This Row],[Date 
du paiement]]="",Tableau3453[[#This Row],[Montant
de la facture
CHF]],"")</f>
        <v>1218.25</v>
      </c>
      <c r="H738" s="243"/>
      <c r="I738" s="245">
        <v>45602</v>
      </c>
      <c r="J738" s="246"/>
      <c r="K738" s="247"/>
      <c r="L738" s="469"/>
      <c r="M738" s="265">
        <f ca="1">IF(Tableau3453[[#This Row],[Date 
du paiement]]="",$D$4-Tableau3453[[#This Row],[Date
de la facture]],Tableau3453[[#This Row],[Date 
du paiement]]-Tableau3453[[#This Row],[Date
de la facture]])</f>
        <v>16.46942534721893</v>
      </c>
      <c r="N738" s="263">
        <f ca="1">IF(Tableau3453[[#This Row],[Date 
du paiement]]="",IF(Tableau3453[[#This Row],[Jours]]&lt;30,Tableau3453[[#This Row],[Montant
de la facture
CHF]],""),"")</f>
        <v>1218.25</v>
      </c>
      <c r="O738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8" s="263" t="str">
        <f ca="1">IF(Tableau3453[[#This Row],[Date 
du paiement]]="",IF(Tableau3453[[#This Row],[Jours]]&gt;60,Tableau3453[[#This Row],[Montant
de la facture
CHF]],""),"")</f>
        <v/>
      </c>
      <c r="Q738" s="266"/>
      <c r="R738" s="267">
        <f>Tableau3453[[#This Row],[Solde 
ouverte
fm]]</f>
        <v>1218.25</v>
      </c>
      <c r="S738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39" spans="1:19" outlineLevel="1" x14ac:dyDescent="0.25">
      <c r="A739" s="268">
        <v>241009</v>
      </c>
      <c r="B739" s="239" t="s">
        <v>860</v>
      </c>
      <c r="C739" s="505" t="str">
        <f ca="1">IF(Tableau3453[[#This Row],[Date 
du paiement]]="",IF(Tableau3453[[#This Row],[Jours]]&gt;Tableau3453[[#This Row],[Conditions
pmt+]]+5,"oui",""),"")</f>
        <v/>
      </c>
      <c r="D739" s="467" t="s">
        <v>902</v>
      </c>
      <c r="E739" s="240">
        <v>45604</v>
      </c>
      <c r="F739" s="468">
        <v>5389.9</v>
      </c>
      <c r="G739" s="396">
        <f>IF(Tableau3453[[#This Row],[Date 
du paiement]]="",Tableau3453[[#This Row],[Montant
de la facture
CHF]],"")</f>
        <v>5389.9</v>
      </c>
      <c r="H739" s="243"/>
      <c r="I739" s="245">
        <v>45610</v>
      </c>
      <c r="J739" s="246"/>
      <c r="K739" s="247"/>
      <c r="L739" s="264"/>
      <c r="M739" s="265">
        <f ca="1">IF(Tableau3453[[#This Row],[Date 
du paiement]]="",$D$4-Tableau3453[[#This Row],[Date
de la facture]],Tableau3453[[#This Row],[Date 
du paiement]]-Tableau3453[[#This Row],[Date
de la facture]])</f>
        <v>13.46942534721893</v>
      </c>
      <c r="N739" s="263">
        <f ca="1">IF(Tableau3453[[#This Row],[Date 
du paiement]]="",IF(Tableau3453[[#This Row],[Jours]]&lt;30,Tableau3453[[#This Row],[Montant
de la facture
CHF]],""),"")</f>
        <v>5389.9</v>
      </c>
      <c r="O739" s="263" t="str">
        <f ca="1">IF(Tableau3453[[#This Row],[Date 
du paiement]]="",IF(Tableau3453[[#This Row],[Jours]]&gt;30,IF(Tableau3453[[#This Row],[Jours]]&lt;60,Tableau3453[[#This Row],[Montant
de la facture
CHF]],""),""),"")</f>
        <v/>
      </c>
      <c r="P739" s="263" t="str">
        <f ca="1">IF(Tableau3453[[#This Row],[Date 
du paiement]]="",IF(Tableau3453[[#This Row],[Jours]]&gt;60,Tableau3453[[#This Row],[Montant
de la facture
CHF]],""),"")</f>
        <v/>
      </c>
      <c r="Q739" s="266"/>
      <c r="R739" s="267">
        <f>Tableau3453[[#This Row],[Solde 
ouverte
fm]]</f>
        <v>5389.9</v>
      </c>
      <c r="S739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40" spans="1:19" outlineLevel="1" x14ac:dyDescent="0.25">
      <c r="A740" s="268">
        <v>241056</v>
      </c>
      <c r="B740" s="239">
        <v>30</v>
      </c>
      <c r="C740" s="505" t="str">
        <f ca="1">IF(Tableau3453[[#This Row],[Date 
du paiement]]="",IF(Tableau3453[[#This Row],[Jours]]&gt;Tableau3453[[#This Row],[Conditions
pmt+]]+5,"oui",""),"")</f>
        <v/>
      </c>
      <c r="D740" s="467" t="s">
        <v>902</v>
      </c>
      <c r="E740" s="240">
        <v>45614</v>
      </c>
      <c r="F740" s="468">
        <v>853.6</v>
      </c>
      <c r="G740" s="396">
        <f>IF(Tableau3453[[#This Row],[Date 
du paiement]]="",Tableau3453[[#This Row],[Montant
de la facture
CHF]],"")</f>
        <v>853.6</v>
      </c>
      <c r="H740" s="243"/>
      <c r="I740" s="459">
        <v>45616</v>
      </c>
      <c r="J740" s="246"/>
      <c r="K740" s="247"/>
      <c r="L740" s="264"/>
      <c r="M740" s="265">
        <f ca="1">IF(Tableau3453[[#This Row],[Date 
du paiement]]="",$D$4-Tableau3453[[#This Row],[Date
de la facture]],Tableau3453[[#This Row],[Date 
du paiement]]-Tableau3453[[#This Row],[Date
de la facture]])</f>
        <v>3.4694253472189303</v>
      </c>
      <c r="N740" s="263">
        <f ca="1">IF(Tableau3453[[#This Row],[Date 
du paiement]]="",IF(Tableau3453[[#This Row],[Jours]]&lt;30,Tableau3453[[#This Row],[Montant
de la facture
CHF]],""),"")</f>
        <v>853.6</v>
      </c>
      <c r="O740" s="263" t="str">
        <f ca="1">IF(Tableau3453[[#This Row],[Date 
du paiement]]="",IF(Tableau3453[[#This Row],[Jours]]&gt;30,IF(Tableau3453[[#This Row],[Jours]]&lt;60,Tableau3453[[#This Row],[Montant
de la facture
CHF]],""),""),"")</f>
        <v/>
      </c>
      <c r="P740" s="263" t="str">
        <f ca="1">IF(Tableau3453[[#This Row],[Date 
du paiement]]="",IF(Tableau3453[[#This Row],[Jours]]&gt;60,Tableau3453[[#This Row],[Montant
de la facture
CHF]],""),"")</f>
        <v/>
      </c>
      <c r="Q740" s="266"/>
      <c r="R740" s="267">
        <f>Tableau3453[[#This Row],[Solde 
ouverte
fm]]</f>
        <v>853.6</v>
      </c>
      <c r="S740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41" spans="1:19" outlineLevel="1" x14ac:dyDescent="0.25">
      <c r="A741" s="268">
        <v>241071</v>
      </c>
      <c r="B741" s="239">
        <v>30</v>
      </c>
      <c r="C741" s="505" t="str">
        <f ca="1">IF(Tableau3453[[#This Row],[Date 
du paiement]]="",IF(Tableau3453[[#This Row],[Jours]]&gt;Tableau3453[[#This Row],[Conditions
pmt+]]+5,"oui",""),"")</f>
        <v/>
      </c>
      <c r="D741" s="262" t="s">
        <v>902</v>
      </c>
      <c r="E741" s="455">
        <v>45614</v>
      </c>
      <c r="F741" s="263">
        <v>612.04999999999995</v>
      </c>
      <c r="G741" s="501">
        <f>IF(Tableau3453[[#This Row],[Date 
du paiement]]="",Tableau3453[[#This Row],[Montant
de la facture
CHF]],"")</f>
        <v>612.04999999999995</v>
      </c>
      <c r="H741" s="243"/>
      <c r="I741" s="459">
        <v>45616</v>
      </c>
      <c r="J741" s="246"/>
      <c r="K741" s="247"/>
      <c r="L741" s="264"/>
      <c r="M741" s="265">
        <f ca="1">IF(Tableau3453[[#This Row],[Date 
du paiement]]="",$D$4-Tableau3453[[#This Row],[Date
de la facture]],Tableau3453[[#This Row],[Date 
du paiement]]-Tableau3453[[#This Row],[Date
de la facture]])</f>
        <v>3.4694253472189303</v>
      </c>
      <c r="N741" s="263">
        <f ca="1">IF(Tableau3453[[#This Row],[Date 
du paiement]]="",IF(Tableau3453[[#This Row],[Jours]]&lt;30,Tableau3453[[#This Row],[Montant
de la facture
CHF]],""),"")</f>
        <v>612.04999999999995</v>
      </c>
      <c r="O741" s="263" t="str">
        <f ca="1">IF(Tableau3453[[#This Row],[Date 
du paiement]]="",IF(Tableau3453[[#This Row],[Jours]]&gt;30,IF(Tableau3453[[#This Row],[Jours]]&lt;60,Tableau3453[[#This Row],[Montant
de la facture
CHF]],""),""),"")</f>
        <v/>
      </c>
      <c r="P741" s="263" t="str">
        <f ca="1">IF(Tableau3453[[#This Row],[Date 
du paiement]]="",IF(Tableau3453[[#This Row],[Jours]]&gt;60,Tableau3453[[#This Row],[Montant
de la facture
CHF]],""),"")</f>
        <v/>
      </c>
      <c r="Q741" s="266"/>
      <c r="R741" s="267">
        <f>Tableau3453[[#This Row],[Solde 
ouverte
fm]]</f>
        <v>612.04999999999995</v>
      </c>
      <c r="S741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42" spans="1:19" outlineLevel="1" x14ac:dyDescent="0.25">
      <c r="A742" s="268">
        <v>240757</v>
      </c>
      <c r="B742" s="239">
        <v>30</v>
      </c>
      <c r="C742" s="495" t="str">
        <f ca="1">IF(Tableau3453[[#This Row],[Date 
du paiement]]="",IF(Tableau3453[[#This Row],[Jours]]&gt;Tableau3453[[#This Row],[Conditions
pmt+]]+5,"oui",""),"")</f>
        <v>oui</v>
      </c>
      <c r="D742" s="498" t="s">
        <v>1009</v>
      </c>
      <c r="E742" s="240">
        <v>45558</v>
      </c>
      <c r="F742" s="499">
        <v>23977.9</v>
      </c>
      <c r="G742" s="457">
        <f>IF(Tableau3453[[#This Row],[Date 
du paiement]]="",Tableau3453[[#This Row],[Montant
de la facture
CHF]],"")</f>
        <v>23977.9</v>
      </c>
      <c r="H742" s="243"/>
      <c r="I742" s="245">
        <v>45559</v>
      </c>
      <c r="J742" s="246"/>
      <c r="K742" s="247"/>
      <c r="L742" s="469">
        <v>2</v>
      </c>
      <c r="M742" s="265">
        <f ca="1">IF(Tableau3453[[#This Row],[Date 
du paiement]]="",$D$4-Tableau3453[[#This Row],[Date
de la facture]],Tableau3453[[#This Row],[Date 
du paiement]]-Tableau3453[[#This Row],[Date
de la facture]])</f>
        <v>59.46942534721893</v>
      </c>
      <c r="N742" s="263" t="str">
        <f ca="1">IF(Tableau3453[[#This Row],[Date 
du paiement]]="",IF(Tableau3453[[#This Row],[Jours]]&lt;30,Tableau3453[[#This Row],[Montant
de la facture
CHF]],""),"")</f>
        <v/>
      </c>
      <c r="O742" s="263">
        <f ca="1">IF(Tableau3453[[#This Row],[Date 
du paiement]]="",IF(Tableau3453[[#This Row],[Jours]]&gt;30,IF(Tableau3453[[#This Row],[Jours]]&lt;60,Tableau3453[[#This Row],[Montant
de la facture
CHF]],""),""),"")</f>
        <v>23977.9</v>
      </c>
      <c r="P742" s="263" t="str">
        <f ca="1">IF(Tableau3453[[#This Row],[Date 
du paiement]]="",IF(Tableau3453[[#This Row],[Jours]]&gt;60,Tableau3453[[#This Row],[Montant
de la facture
CHF]],""),"")</f>
        <v/>
      </c>
      <c r="Q742" s="266" t="s">
        <v>1775</v>
      </c>
      <c r="R742" s="267">
        <f>Tableau3453[[#This Row],[Solde 
ouverte
fm]]</f>
        <v>23977.9</v>
      </c>
      <c r="S742" s="263">
        <f ca="1">IF(Tableau3453[[#This Row],[Date 
du paiement]]="",IF(Tableau3453[[#This Row],[Jours]]-Tableau3453[[#This Row],[Conditions
pmt+]]&gt;0,Tableau3453[[#This Row],[Montant
de la facture
CHF]],"0.00"),"0.00")</f>
        <v>23977.9</v>
      </c>
    </row>
    <row r="743" spans="1:19" hidden="1" outlineLevel="1" x14ac:dyDescent="0.25">
      <c r="A743" s="268">
        <v>240790</v>
      </c>
      <c r="B743" s="239">
        <v>30</v>
      </c>
      <c r="C743" s="352" t="str">
        <f>IF(Tableau3453[[#This Row],[Date 
du paiement]]="",IF(Tableau3453[[#This Row],[Jours]]&gt;Tableau3453[[#This Row],[Conditions
pmt+]]+5,"oui",""),"")</f>
        <v/>
      </c>
      <c r="D743" s="262" t="s">
        <v>1044</v>
      </c>
      <c r="E743" s="240">
        <v>45572</v>
      </c>
      <c r="F743" s="263">
        <v>776.1</v>
      </c>
      <c r="G743" s="242" t="str">
        <f>IF(Tableau3453[[#This Row],[Date 
du paiement]]="",Tableau3453[[#This Row],[Montant
de la facture
CHF]],"")</f>
        <v/>
      </c>
      <c r="H743" s="243"/>
      <c r="I743" s="245">
        <v>45573</v>
      </c>
      <c r="J743" s="246">
        <v>45600</v>
      </c>
      <c r="K743" s="247" t="s">
        <v>58</v>
      </c>
      <c r="L743" s="264"/>
      <c r="M743" s="265">
        <f>IF(Tableau3453[[#This Row],[Date 
du paiement]]="",$D$4-Tableau3453[[#This Row],[Date
de la facture]],Tableau3453[[#This Row],[Date 
du paiement]]-Tableau3453[[#This Row],[Date
de la facture]])</f>
        <v>28</v>
      </c>
      <c r="N743" s="263" t="str">
        <f>IF(Tableau3453[[#This Row],[Date 
du paiement]]="",IF(Tableau3453[[#This Row],[Jours]]&lt;30,Tableau3453[[#This Row],[Montant
de la facture
CHF]],""),"")</f>
        <v/>
      </c>
      <c r="O743" s="263" t="str">
        <f>IF(Tableau3453[[#This Row],[Date 
du paiement]]="",IF(Tableau3453[[#This Row],[Jours]]&gt;30,IF(Tableau3453[[#This Row],[Jours]]&lt;60,Tableau3453[[#This Row],[Montant
de la facture
CHF]],""),""),"")</f>
        <v/>
      </c>
      <c r="P743" s="263" t="str">
        <f>IF(Tableau3453[[#This Row],[Date 
du paiement]]="",IF(Tableau3453[[#This Row],[Jours]]&gt;60,Tableau3453[[#This Row],[Montant
de la facture
CHF]],""),"")</f>
        <v/>
      </c>
      <c r="Q743" s="266"/>
      <c r="R743" s="267" t="str">
        <f>Tableau3453[[#This Row],[Solde 
ouverte
fm]]</f>
        <v/>
      </c>
      <c r="S74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44" spans="1:19" outlineLevel="1" x14ac:dyDescent="0.25">
      <c r="A744" s="268">
        <v>240793</v>
      </c>
      <c r="B744" s="239">
        <v>30</v>
      </c>
      <c r="C744" s="495" t="str">
        <f ca="1">IF(Tableau3453[[#This Row],[Date 
du paiement]]="",IF(Tableau3453[[#This Row],[Jours]]&gt;Tableau3453[[#This Row],[Conditions
pmt+]]+5,"oui",""),"")</f>
        <v>oui</v>
      </c>
      <c r="D744" s="498" t="s">
        <v>1009</v>
      </c>
      <c r="E744" s="240">
        <v>45561</v>
      </c>
      <c r="F744" s="502">
        <v>23977.9</v>
      </c>
      <c r="G744" s="501">
        <f>IF(Tableau3453[[#This Row],[Date 
du paiement]]="",Tableau3453[[#This Row],[Montant
de la facture
CHF]],"")</f>
        <v>23977.9</v>
      </c>
      <c r="H744" s="243"/>
      <c r="I744" s="245">
        <v>45561</v>
      </c>
      <c r="J744" s="246"/>
      <c r="K744" s="247"/>
      <c r="L744" s="469">
        <v>1</v>
      </c>
      <c r="M744" s="265">
        <f ca="1">IF(Tableau3453[[#This Row],[Date 
du paiement]]="",$D$4-Tableau3453[[#This Row],[Date
de la facture]],Tableau3453[[#This Row],[Date 
du paiement]]-Tableau3453[[#This Row],[Date
de la facture]])</f>
        <v>56.46942534721893</v>
      </c>
      <c r="N744" s="263" t="str">
        <f ca="1">IF(Tableau3453[[#This Row],[Date 
du paiement]]="",IF(Tableau3453[[#This Row],[Jours]]&lt;30,Tableau3453[[#This Row],[Montant
de la facture
CHF]],""),"")</f>
        <v/>
      </c>
      <c r="O744" s="263">
        <f ca="1">IF(Tableau3453[[#This Row],[Date 
du paiement]]="",IF(Tableau3453[[#This Row],[Jours]]&gt;30,IF(Tableau3453[[#This Row],[Jours]]&lt;60,Tableau3453[[#This Row],[Montant
de la facture
CHF]],""),""),"")</f>
        <v>23977.9</v>
      </c>
      <c r="P744" s="263" t="str">
        <f ca="1">IF(Tableau3453[[#This Row],[Date 
du paiement]]="",IF(Tableau3453[[#This Row],[Jours]]&gt;60,Tableau3453[[#This Row],[Montant
de la facture
CHF]],""),"")</f>
        <v/>
      </c>
      <c r="Q744" s="266" t="s">
        <v>1775</v>
      </c>
      <c r="R744" s="267">
        <f>Tableau3453[[#This Row],[Solde 
ouverte
fm]]</f>
        <v>23977.9</v>
      </c>
      <c r="S744" s="263">
        <f ca="1">IF(Tableau3453[[#This Row],[Date 
du paiement]]="",IF(Tableau3453[[#This Row],[Jours]]-Tableau3453[[#This Row],[Conditions
pmt+]]&gt;0,Tableau3453[[#This Row],[Montant
de la facture
CHF]],"0.00"),"0.00")</f>
        <v>23977.9</v>
      </c>
    </row>
    <row r="745" spans="1:19" outlineLevel="1" x14ac:dyDescent="0.25">
      <c r="A745" s="268">
        <v>240794</v>
      </c>
      <c r="B745" s="239">
        <v>30</v>
      </c>
      <c r="C745" s="495" t="str">
        <f ca="1">IF(Tableau3453[[#This Row],[Date 
du paiement]]="",IF(Tableau3453[[#This Row],[Jours]]&gt;Tableau3453[[#This Row],[Conditions
pmt+]]+5,"oui",""),"")</f>
        <v>oui</v>
      </c>
      <c r="D745" s="262" t="s">
        <v>1009</v>
      </c>
      <c r="E745" s="240">
        <v>45569</v>
      </c>
      <c r="F745" s="263">
        <v>9148.5</v>
      </c>
      <c r="G745" s="396">
        <f>IF(Tableau3453[[#This Row],[Date 
du paiement]]="",Tableau3453[[#This Row],[Montant
de la facture
CHF]],"")</f>
        <v>9148.5</v>
      </c>
      <c r="H745" s="243"/>
      <c r="I745" s="245">
        <v>45573</v>
      </c>
      <c r="J745" s="246"/>
      <c r="K745" s="247"/>
      <c r="L745" s="469">
        <v>1</v>
      </c>
      <c r="M745" s="265">
        <f ca="1">IF(Tableau3453[[#This Row],[Date 
du paiement]]="",$D$4-Tableau3453[[#This Row],[Date
de la facture]],Tableau3453[[#This Row],[Date 
du paiement]]-Tableau3453[[#This Row],[Date
de la facture]])</f>
        <v>48.46942534721893</v>
      </c>
      <c r="N745" s="263" t="str">
        <f ca="1">IF(Tableau3453[[#This Row],[Date 
du paiement]]="",IF(Tableau3453[[#This Row],[Jours]]&lt;30,Tableau3453[[#This Row],[Montant
de la facture
CHF]],""),"")</f>
        <v/>
      </c>
      <c r="O745" s="263">
        <f ca="1">IF(Tableau3453[[#This Row],[Date 
du paiement]]="",IF(Tableau3453[[#This Row],[Jours]]&gt;30,IF(Tableau3453[[#This Row],[Jours]]&lt;60,Tableau3453[[#This Row],[Montant
de la facture
CHF]],""),""),"")</f>
        <v>9148.5</v>
      </c>
      <c r="P745" s="263" t="str">
        <f ca="1">IF(Tableau3453[[#This Row],[Date 
du paiement]]="",IF(Tableau3453[[#This Row],[Jours]]&gt;60,Tableau3453[[#This Row],[Montant
de la facture
CHF]],""),"")</f>
        <v/>
      </c>
      <c r="Q745" s="266" t="s">
        <v>1775</v>
      </c>
      <c r="R745" s="267">
        <f>Tableau3453[[#This Row],[Solde 
ouverte
fm]]</f>
        <v>9148.5</v>
      </c>
      <c r="S745" s="263">
        <f ca="1">IF(Tableau3453[[#This Row],[Date 
du paiement]]="",IF(Tableau3453[[#This Row],[Jours]]-Tableau3453[[#This Row],[Conditions
pmt+]]&gt;0,Tableau3453[[#This Row],[Montant
de la facture
CHF]],"0.00"),"0.00")</f>
        <v>9148.5</v>
      </c>
    </row>
    <row r="746" spans="1:19" outlineLevel="1" x14ac:dyDescent="0.25">
      <c r="A746" s="268">
        <v>240898</v>
      </c>
      <c r="B746" s="239">
        <v>30</v>
      </c>
      <c r="C746" s="505" t="str">
        <f ca="1">IF(Tableau3453[[#This Row],[Date 
du paiement]]="",IF(Tableau3453[[#This Row],[Jours]]&gt;Tableau3453[[#This Row],[Conditions
pmt+]]+5,"oui",""),"")</f>
        <v>oui</v>
      </c>
      <c r="D746" s="262" t="s">
        <v>1026</v>
      </c>
      <c r="E746" s="240">
        <v>45573</v>
      </c>
      <c r="F746" s="263">
        <v>1000.4</v>
      </c>
      <c r="G746" s="396">
        <f>IF(Tableau3453[[#This Row],[Date 
du paiement]]="",Tableau3453[[#This Row],[Montant
de la facture
CHF]],"")</f>
        <v>1000.4</v>
      </c>
      <c r="H746" s="243"/>
      <c r="I746" s="245">
        <v>45579</v>
      </c>
      <c r="J746" s="246"/>
      <c r="K746" s="247"/>
      <c r="L746" s="264">
        <v>2</v>
      </c>
      <c r="M746" s="265">
        <f ca="1">IF(Tableau3453[[#This Row],[Date 
du paiement]]="",$D$4-Tableau3453[[#This Row],[Date
de la facture]],Tableau3453[[#This Row],[Date 
du paiement]]-Tableau3453[[#This Row],[Date
de la facture]])</f>
        <v>44.46942534721893</v>
      </c>
      <c r="N746" s="263" t="str">
        <f ca="1">IF(Tableau3453[[#This Row],[Date 
du paiement]]="",IF(Tableau3453[[#This Row],[Jours]]&lt;30,Tableau3453[[#This Row],[Montant
de la facture
CHF]],""),"")</f>
        <v/>
      </c>
      <c r="O746" s="263">
        <f ca="1">IF(Tableau3453[[#This Row],[Date 
du paiement]]="",IF(Tableau3453[[#This Row],[Jours]]&gt;30,IF(Tableau3453[[#This Row],[Jours]]&lt;60,Tableau3453[[#This Row],[Montant
de la facture
CHF]],""),""),"")</f>
        <v>1000.4</v>
      </c>
      <c r="P746" s="263" t="str">
        <f ca="1">IF(Tableau3453[[#This Row],[Date 
du paiement]]="",IF(Tableau3453[[#This Row],[Jours]]&gt;60,Tableau3453[[#This Row],[Montant
de la facture
CHF]],""),"")</f>
        <v/>
      </c>
      <c r="Q746" s="266"/>
      <c r="R746" s="267">
        <f>Tableau3453[[#This Row],[Solde 
ouverte
fm]]</f>
        <v>1000.4</v>
      </c>
      <c r="S746" s="263">
        <f ca="1">IF(Tableau3453[[#This Row],[Date 
du paiement]]="",IF(Tableau3453[[#This Row],[Jours]]-Tableau3453[[#This Row],[Conditions
pmt+]]&gt;0,Tableau3453[[#This Row],[Montant
de la facture
CHF]],"0.00"),"0.00")</f>
        <v>1000.4</v>
      </c>
    </row>
    <row r="747" spans="1:19" hidden="1" outlineLevel="1" x14ac:dyDescent="0.25">
      <c r="A747" s="323">
        <v>241035</v>
      </c>
      <c r="B747" s="324" t="s">
        <v>870</v>
      </c>
      <c r="C747" s="361" t="str">
        <f>IF(Tableau3453[[#This Row],[Date 
du paiement]]="",IF(Tableau3453[[#This Row],[Jours]]&gt;Tableau3453[[#This Row],[Conditions
pmt+]]+5,"oui",""),"")</f>
        <v/>
      </c>
      <c r="D747" s="325" t="s">
        <v>1749</v>
      </c>
      <c r="E747" s="326">
        <v>45597</v>
      </c>
      <c r="F747" s="327">
        <v>66.3</v>
      </c>
      <c r="G747" s="403" t="str">
        <f>IF(Tableau3453[[#This Row],[Date 
du paiement]]="",Tableau3453[[#This Row],[Montant
de la facture
CHF]],"")</f>
        <v/>
      </c>
      <c r="H747" s="328"/>
      <c r="I747" s="335">
        <v>45602</v>
      </c>
      <c r="J747" s="329">
        <v>45594</v>
      </c>
      <c r="K747" s="330" t="s">
        <v>907</v>
      </c>
      <c r="L747" s="331"/>
      <c r="M747" s="332">
        <f>IF(Tableau3453[[#This Row],[Date 
du paiement]]="",$D$4-Tableau3453[[#This Row],[Date
de la facture]],Tableau3453[[#This Row],[Date 
du paiement]]-Tableau3453[[#This Row],[Date
de la facture]])</f>
        <v>-3</v>
      </c>
      <c r="N747" s="327" t="str">
        <f>IF(Tableau3453[[#This Row],[Date 
du paiement]]="",IF(Tableau3453[[#This Row],[Jours]]&lt;30,Tableau3453[[#This Row],[Montant
de la facture
CHF]],""),"")</f>
        <v/>
      </c>
      <c r="O747" s="327" t="str">
        <f>IF(Tableau3453[[#This Row],[Date 
du paiement]]="",IF(Tableau3453[[#This Row],[Jours]]&gt;30,IF(Tableau3453[[#This Row],[Jours]]&lt;60,Tableau3453[[#This Row],[Montant
de la facture
CHF]],""),""),"")</f>
        <v/>
      </c>
      <c r="P747" s="327" t="str">
        <f>IF(Tableau3453[[#This Row],[Date 
du paiement]]="",IF(Tableau3453[[#This Row],[Jours]]&gt;60,Tableau3453[[#This Row],[Montant
de la facture
CHF]],""),"")</f>
        <v/>
      </c>
      <c r="Q747" s="333"/>
      <c r="R747" s="334" t="str">
        <f>Tableau3453[[#This Row],[Solde 
ouverte
fm]]</f>
        <v/>
      </c>
      <c r="S747" s="327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48" spans="1:19" hidden="1" outlineLevel="1" x14ac:dyDescent="0.25">
      <c r="A748" s="481">
        <v>240776</v>
      </c>
      <c r="B748" s="482">
        <v>30</v>
      </c>
      <c r="C748" s="507" t="str">
        <f>IF(Tableau3453[[#This Row],[Date 
du paiement]]="",IF(Tableau3453[[#This Row],[Jours]]&gt;Tableau3453[[#This Row],[Conditions
pmt+]]+5,"oui",""),"")</f>
        <v/>
      </c>
      <c r="D748" s="483" t="s">
        <v>1633</v>
      </c>
      <c r="E748" s="484">
        <v>45574</v>
      </c>
      <c r="F748" s="485">
        <v>1583.6</v>
      </c>
      <c r="G748" s="503" t="str">
        <f>IF(Tableau3453[[#This Row],[Date 
du paiement]]="",Tableau3453[[#This Row],[Montant
de la facture
CHF]],"")</f>
        <v/>
      </c>
      <c r="H748" s="486"/>
      <c r="I748" s="493">
        <v>45579</v>
      </c>
      <c r="J748" s="487">
        <v>45607</v>
      </c>
      <c r="K748" s="488" t="s">
        <v>58</v>
      </c>
      <c r="L748" s="489"/>
      <c r="M748" s="490">
        <f>IF(Tableau3453[[#This Row],[Date 
du paiement]]="",$D$4-Tableau3453[[#This Row],[Date
de la facture]],Tableau3453[[#This Row],[Date 
du paiement]]-Tableau3453[[#This Row],[Date
de la facture]])</f>
        <v>33</v>
      </c>
      <c r="N748" s="485" t="str">
        <f>IF(Tableau3453[[#This Row],[Date 
du paiement]]="",IF(Tableau3453[[#This Row],[Jours]]&lt;30,Tableau3453[[#This Row],[Montant
de la facture
CHF]],""),"")</f>
        <v/>
      </c>
      <c r="O748" s="485" t="str">
        <f>IF(Tableau3453[[#This Row],[Date 
du paiement]]="",IF(Tableau3453[[#This Row],[Jours]]&gt;30,IF(Tableau3453[[#This Row],[Jours]]&lt;60,Tableau3453[[#This Row],[Montant
de la facture
CHF]],""),""),"")</f>
        <v/>
      </c>
      <c r="P748" s="485" t="str">
        <f>IF(Tableau3453[[#This Row],[Date 
du paiement]]="",IF(Tableau3453[[#This Row],[Jours]]&gt;60,Tableau3453[[#This Row],[Montant
de la facture
CHF]],""),"")</f>
        <v/>
      </c>
      <c r="Q748" s="491"/>
      <c r="R748" s="492" t="str">
        <f>Tableau3453[[#This Row],[Solde 
ouverte
fm]]</f>
        <v/>
      </c>
      <c r="S748" s="48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49" spans="1:19" hidden="1" outlineLevel="1" x14ac:dyDescent="0.25">
      <c r="A749" s="268">
        <v>240982</v>
      </c>
      <c r="B749" s="239">
        <v>30</v>
      </c>
      <c r="C749" s="406" t="str">
        <f>IF(Tableau3453[[#This Row],[Date 
du paiement]]="",IF(Tableau3453[[#This Row],[Jours]]&gt;Tableau3453[[#This Row],[Conditions
pmt+]]+5,"oui",""),"")</f>
        <v/>
      </c>
      <c r="D749" s="262" t="s">
        <v>964</v>
      </c>
      <c r="E749" s="240">
        <v>45580</v>
      </c>
      <c r="F749" s="263">
        <v>874.3</v>
      </c>
      <c r="G749" s="396" t="str">
        <f>IF(Tableau3453[[#This Row],[Date 
du paiement]]="",Tableau3453[[#This Row],[Montant
de la facture
CHF]],"")</f>
        <v/>
      </c>
      <c r="H749" s="243"/>
      <c r="I749" s="493">
        <v>45582</v>
      </c>
      <c r="J749" s="246">
        <v>45607</v>
      </c>
      <c r="K749" s="247" t="s">
        <v>58</v>
      </c>
      <c r="L749" s="264"/>
      <c r="M749" s="265">
        <f>IF(Tableau3453[[#This Row],[Date 
du paiement]]="",$D$4-Tableau3453[[#This Row],[Date
de la facture]],Tableau3453[[#This Row],[Date 
du paiement]]-Tableau3453[[#This Row],[Date
de la facture]])</f>
        <v>27</v>
      </c>
      <c r="N749" s="263" t="str">
        <f>IF(Tableau3453[[#This Row],[Date 
du paiement]]="",IF(Tableau3453[[#This Row],[Jours]]&lt;30,Tableau3453[[#This Row],[Montant
de la facture
CHF]],""),"")</f>
        <v/>
      </c>
      <c r="O749" s="263" t="str">
        <f>IF(Tableau3453[[#This Row],[Date 
du paiement]]="",IF(Tableau3453[[#This Row],[Jours]]&gt;30,IF(Tableau3453[[#This Row],[Jours]]&lt;60,Tableau3453[[#This Row],[Montant
de la facture
CHF]],""),""),"")</f>
        <v/>
      </c>
      <c r="P749" s="263" t="str">
        <f>IF(Tableau3453[[#This Row],[Date 
du paiement]]="",IF(Tableau3453[[#This Row],[Jours]]&gt;60,Tableau3453[[#This Row],[Montant
de la facture
CHF]],""),"")</f>
        <v/>
      </c>
      <c r="Q749" s="266"/>
      <c r="R749" s="267" t="str">
        <f>Tableau3453[[#This Row],[Solde 
ouverte
fm]]</f>
        <v/>
      </c>
      <c r="S749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50" spans="1:19" outlineLevel="1" x14ac:dyDescent="0.25">
      <c r="A750" s="268">
        <v>240993</v>
      </c>
      <c r="B750" s="239">
        <v>30</v>
      </c>
      <c r="C750" s="505" t="str">
        <f ca="1">IF(Tableau3453[[#This Row],[Date 
du paiement]]="",IF(Tableau3453[[#This Row],[Jours]]&gt;Tableau3453[[#This Row],[Conditions
pmt+]]+5,"oui",""),"")</f>
        <v>oui</v>
      </c>
      <c r="D750" s="262" t="s">
        <v>1026</v>
      </c>
      <c r="E750" s="455">
        <v>45580</v>
      </c>
      <c r="F750" s="263">
        <v>897.65</v>
      </c>
      <c r="G750" s="396">
        <f>IF(Tableau3453[[#This Row],[Date 
du paiement]]="",Tableau3453[[#This Row],[Montant
de la facture
CHF]],"")</f>
        <v>897.65</v>
      </c>
      <c r="H750" s="243"/>
      <c r="I750" s="493">
        <v>45582</v>
      </c>
      <c r="J750" s="246"/>
      <c r="K750" s="247"/>
      <c r="L750" s="264">
        <v>1</v>
      </c>
      <c r="M750" s="265">
        <f ca="1">IF(Tableau3453[[#This Row],[Date 
du paiement]]="",$D$4-Tableau3453[[#This Row],[Date
de la facture]],Tableau3453[[#This Row],[Date 
du paiement]]-Tableau3453[[#This Row],[Date
de la facture]])</f>
        <v>37.46942534721893</v>
      </c>
      <c r="N750" s="263" t="str">
        <f ca="1">IF(Tableau3453[[#This Row],[Date 
du paiement]]="",IF(Tableau3453[[#This Row],[Jours]]&lt;30,Tableau3453[[#This Row],[Montant
de la facture
CHF]],""),"")</f>
        <v/>
      </c>
      <c r="O750" s="263">
        <f ca="1">IF(Tableau3453[[#This Row],[Date 
du paiement]]="",IF(Tableau3453[[#This Row],[Jours]]&gt;30,IF(Tableau3453[[#This Row],[Jours]]&lt;60,Tableau3453[[#This Row],[Montant
de la facture
CHF]],""),""),"")</f>
        <v>897.65</v>
      </c>
      <c r="P750" s="263" t="str">
        <f ca="1">IF(Tableau3453[[#This Row],[Date 
du paiement]]="",IF(Tableau3453[[#This Row],[Jours]]&gt;60,Tableau3453[[#This Row],[Montant
de la facture
CHF]],""),"")</f>
        <v/>
      </c>
      <c r="Q750" s="266"/>
      <c r="R750" s="267">
        <f>Tableau3453[[#This Row],[Solde 
ouverte
fm]]</f>
        <v>897.65</v>
      </c>
      <c r="S750" s="263">
        <f ca="1">IF(Tableau3453[[#This Row],[Date 
du paiement]]="",IF(Tableau3453[[#This Row],[Jours]]-Tableau3453[[#This Row],[Conditions
pmt+]]&gt;0,Tableau3453[[#This Row],[Montant
de la facture
CHF]],"0.00"),"0.00")</f>
        <v>897.65</v>
      </c>
    </row>
    <row r="751" spans="1:19" hidden="1" outlineLevel="1" x14ac:dyDescent="0.25">
      <c r="A751" s="268">
        <v>240979</v>
      </c>
      <c r="B751" s="239" t="s">
        <v>1654</v>
      </c>
      <c r="C751" s="495" t="str">
        <f>IF(Tableau3453[[#This Row],[Date 
du paiement]]="",IF(Tableau3453[[#This Row],[Jours]]&gt;Tableau3453[[#This Row],[Conditions
pmt+]]+5,"oui",""),"")</f>
        <v/>
      </c>
      <c r="D751" s="262" t="s">
        <v>1535</v>
      </c>
      <c r="E751" s="240">
        <v>45579</v>
      </c>
      <c r="F751" s="263">
        <v>277</v>
      </c>
      <c r="G751" s="396" t="str">
        <f>IF(Tableau3453[[#This Row],[Date 
du paiement]]="",Tableau3453[[#This Row],[Montant
de la facture
CHF]],"")</f>
        <v/>
      </c>
      <c r="H751" s="243"/>
      <c r="I751" s="493">
        <v>45582</v>
      </c>
      <c r="J751" s="246">
        <v>45604</v>
      </c>
      <c r="K751" s="247" t="s">
        <v>58</v>
      </c>
      <c r="L751" s="264"/>
      <c r="M751" s="265">
        <f>IF(Tableau3453[[#This Row],[Date 
du paiement]]="",$D$4-Tableau3453[[#This Row],[Date
de la facture]],Tableau3453[[#This Row],[Date 
du paiement]]-Tableau3453[[#This Row],[Date
de la facture]])</f>
        <v>25</v>
      </c>
      <c r="N751" s="263" t="str">
        <f>IF(Tableau3453[[#This Row],[Date 
du paiement]]="",IF(Tableau3453[[#This Row],[Jours]]&lt;30,Tableau3453[[#This Row],[Montant
de la facture
CHF]],""),"")</f>
        <v/>
      </c>
      <c r="O751" s="263" t="str">
        <f>IF(Tableau3453[[#This Row],[Date 
du paiement]]="",IF(Tableau3453[[#This Row],[Jours]]&gt;30,IF(Tableau3453[[#This Row],[Jours]]&lt;60,Tableau3453[[#This Row],[Montant
de la facture
CHF]],""),""),"")</f>
        <v/>
      </c>
      <c r="P751" s="263" t="str">
        <f>IF(Tableau3453[[#This Row],[Date 
du paiement]]="",IF(Tableau3453[[#This Row],[Jours]]&gt;60,Tableau3453[[#This Row],[Montant
de la facture
CHF]],""),"")</f>
        <v/>
      </c>
      <c r="Q751" s="266"/>
      <c r="R751" s="267" t="str">
        <f>Tableau3453[[#This Row],[Solde 
ouverte
fm]]</f>
        <v/>
      </c>
      <c r="S751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52" spans="1:19" outlineLevel="1" x14ac:dyDescent="0.25">
      <c r="A752" s="268">
        <v>241002</v>
      </c>
      <c r="B752" s="239" t="s">
        <v>860</v>
      </c>
      <c r="C752" s="495" t="str">
        <f ca="1">IF(Tableau3453[[#This Row],[Date 
du paiement]]="",IF(Tableau3453[[#This Row],[Jours]]&gt;Tableau3453[[#This Row],[Conditions
pmt+]]+5,"oui",""),"")</f>
        <v/>
      </c>
      <c r="D752" s="498" t="s">
        <v>1026</v>
      </c>
      <c r="E752" s="240">
        <v>45589</v>
      </c>
      <c r="F752" s="499">
        <v>2291.9499999999998</v>
      </c>
      <c r="G752" s="457">
        <f>IF(Tableau3453[[#This Row],[Date 
du paiement]]="",Tableau3453[[#This Row],[Montant
de la facture
CHF]],"")</f>
        <v>2291.9499999999998</v>
      </c>
      <c r="H752" s="243"/>
      <c r="I752" s="493">
        <v>45589</v>
      </c>
      <c r="J752" s="246"/>
      <c r="K752" s="247"/>
      <c r="L752" s="264"/>
      <c r="M752" s="265">
        <f ca="1">IF(Tableau3453[[#This Row],[Date 
du paiement]]="",$D$4-Tableau3453[[#This Row],[Date
de la facture]],Tableau3453[[#This Row],[Date 
du paiement]]-Tableau3453[[#This Row],[Date
de la facture]])</f>
        <v>28.46942534721893</v>
      </c>
      <c r="N752" s="263">
        <f ca="1">IF(Tableau3453[[#This Row],[Date 
du paiement]]="",IF(Tableau3453[[#This Row],[Jours]]&lt;30,Tableau3453[[#This Row],[Montant
de la facture
CHF]],""),"")</f>
        <v>2291.9499999999998</v>
      </c>
      <c r="O752" s="263" t="str">
        <f ca="1">IF(Tableau3453[[#This Row],[Date 
du paiement]]="",IF(Tableau3453[[#This Row],[Jours]]&gt;30,IF(Tableau3453[[#This Row],[Jours]]&lt;60,Tableau3453[[#This Row],[Montant
de la facture
CHF]],""),""),"")</f>
        <v/>
      </c>
      <c r="P752" s="263" t="str">
        <f ca="1">IF(Tableau3453[[#This Row],[Date 
du paiement]]="",IF(Tableau3453[[#This Row],[Jours]]&gt;60,Tableau3453[[#This Row],[Montant
de la facture
CHF]],""),"")</f>
        <v/>
      </c>
      <c r="Q752" s="266"/>
      <c r="R752" s="267">
        <f>Tableau3453[[#This Row],[Solde 
ouverte
fm]]</f>
        <v>2291.9499999999998</v>
      </c>
      <c r="S752" s="263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53" spans="1:19" hidden="1" outlineLevel="1" x14ac:dyDescent="0.25">
      <c r="A753" s="268">
        <v>241045</v>
      </c>
      <c r="B753" s="239" t="s">
        <v>870</v>
      </c>
      <c r="C753" s="352" t="str">
        <f>IF(Tableau3453[[#This Row],[Date 
du paiement]]="",IF(Tableau3453[[#This Row],[Jours]]&gt;Tableau3453[[#This Row],[Conditions
pmt+]]+5,"oui",""),"")</f>
        <v/>
      </c>
      <c r="D753" s="262" t="s">
        <v>1748</v>
      </c>
      <c r="E753" s="240">
        <v>45601</v>
      </c>
      <c r="F753" s="263">
        <v>400</v>
      </c>
      <c r="G753" s="396" t="str">
        <f>IF(Tableau3453[[#This Row],[Date 
du paiement]]="",Tableau3453[[#This Row],[Montant
de la facture
CHF]],"")</f>
        <v/>
      </c>
      <c r="H753" s="243"/>
      <c r="I753" s="245" t="s">
        <v>883</v>
      </c>
      <c r="J753" s="246">
        <v>45601</v>
      </c>
      <c r="K753" s="247" t="s">
        <v>982</v>
      </c>
      <c r="L753" s="264"/>
      <c r="M753" s="265">
        <f>IF(Tableau3453[[#This Row],[Date 
du paiement]]="",$D$4-Tableau3453[[#This Row],[Date
de la facture]],Tableau3453[[#This Row],[Date 
du paiement]]-Tableau3453[[#This Row],[Date
de la facture]])</f>
        <v>0</v>
      </c>
      <c r="N753" s="263" t="str">
        <f>IF(Tableau3453[[#This Row],[Date 
du paiement]]="",IF(Tableau3453[[#This Row],[Jours]]&lt;30,Tableau3453[[#This Row],[Montant
de la facture
CHF]],""),"")</f>
        <v/>
      </c>
      <c r="O753" s="263" t="str">
        <f>IF(Tableau3453[[#This Row],[Date 
du paiement]]="",IF(Tableau3453[[#This Row],[Jours]]&gt;30,IF(Tableau3453[[#This Row],[Jours]]&lt;60,Tableau3453[[#This Row],[Montant
de la facture
CHF]],""),""),"")</f>
        <v/>
      </c>
      <c r="P753" s="263" t="str">
        <f>IF(Tableau3453[[#This Row],[Date 
du paiement]]="",IF(Tableau3453[[#This Row],[Jours]]&gt;60,Tableau3453[[#This Row],[Montant
de la facture
CHF]],""),"")</f>
        <v/>
      </c>
      <c r="Q753" s="266"/>
      <c r="R753" s="267" t="str">
        <f>Tableau3453[[#This Row],[Solde 
ouverte
fm]]</f>
        <v/>
      </c>
      <c r="S753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54" spans="1:19" hidden="1" outlineLevel="1" x14ac:dyDescent="0.25">
      <c r="A754" s="268">
        <v>240940</v>
      </c>
      <c r="B754" s="239">
        <v>30</v>
      </c>
      <c r="C754" s="406" t="str">
        <f>IF(Tableau3453[[#This Row],[Date 
du paiement]]="",IF(Tableau3453[[#This Row],[Jours]]&gt;Tableau3453[[#This Row],[Conditions
pmt+]]+5,"oui",""),"")</f>
        <v/>
      </c>
      <c r="D754" s="262" t="s">
        <v>1536</v>
      </c>
      <c r="E754" s="240">
        <v>45573</v>
      </c>
      <c r="F754" s="263">
        <v>897.65</v>
      </c>
      <c r="G754" s="396" t="str">
        <f>IF(Tableau3453[[#This Row],[Date 
du paiement]]="",Tableau3453[[#This Row],[Montant
de la facture
CHF]],"")</f>
        <v/>
      </c>
      <c r="H754" s="243"/>
      <c r="I754" s="493">
        <v>45579</v>
      </c>
      <c r="J754" s="246">
        <v>45604</v>
      </c>
      <c r="K754" s="247" t="s">
        <v>58</v>
      </c>
      <c r="L754" s="264"/>
      <c r="M754" s="265">
        <f>IF(Tableau3453[[#This Row],[Date 
du paiement]]="",$D$4-Tableau3453[[#This Row],[Date
de la facture]],Tableau3453[[#This Row],[Date 
du paiement]]-Tableau3453[[#This Row],[Date
de la facture]])</f>
        <v>31</v>
      </c>
      <c r="N754" s="263" t="str">
        <f>IF(Tableau3453[[#This Row],[Date 
du paiement]]="",IF(Tableau3453[[#This Row],[Jours]]&lt;30,Tableau3453[[#This Row],[Montant
de la facture
CHF]],""),"")</f>
        <v/>
      </c>
      <c r="O754" s="263" t="str">
        <f>IF(Tableau3453[[#This Row],[Date 
du paiement]]="",IF(Tableau3453[[#This Row],[Jours]]&gt;30,IF(Tableau3453[[#This Row],[Jours]]&lt;60,Tableau3453[[#This Row],[Montant
de la facture
CHF]],""),""),"")</f>
        <v/>
      </c>
      <c r="P754" s="263" t="str">
        <f>IF(Tableau3453[[#This Row],[Date 
du paiement]]="",IF(Tableau3453[[#This Row],[Jours]]&gt;60,Tableau3453[[#This Row],[Montant
de la facture
CHF]],""),"")</f>
        <v/>
      </c>
      <c r="Q754" s="266"/>
      <c r="R754" s="267" t="str">
        <f>Tableau3453[[#This Row],[Solde 
ouverte
fm]]</f>
        <v/>
      </c>
      <c r="S754" s="263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55" spans="1:19" hidden="1" outlineLevel="1" x14ac:dyDescent="0.25">
      <c r="A755" s="481">
        <v>240823</v>
      </c>
      <c r="B755" s="482" t="s">
        <v>857</v>
      </c>
      <c r="C755" s="497" t="str">
        <f>IF(Tableau3453[[#This Row],[Date 
du paiement]]="",IF(Tableau3453[[#This Row],[Jours]]&gt;Tableau3453[[#This Row],[Conditions
pmt+]]+5,"oui",""),"")</f>
        <v/>
      </c>
      <c r="D755" s="483" t="s">
        <v>858</v>
      </c>
      <c r="E755" s="484">
        <v>45530</v>
      </c>
      <c r="F755" s="485">
        <v>2601.9499999999998</v>
      </c>
      <c r="G755" s="504" t="str">
        <f>IF(Tableau3453[[#This Row],[Date 
du paiement]]="",Tableau3453[[#This Row],[Montant
de la facture
CHF]],"")</f>
        <v/>
      </c>
      <c r="H755" s="486"/>
      <c r="I755" s="493">
        <v>45531</v>
      </c>
      <c r="J755" s="487">
        <v>45607</v>
      </c>
      <c r="K755" s="488" t="s">
        <v>58</v>
      </c>
      <c r="L755" s="489">
        <v>1</v>
      </c>
      <c r="M755" s="490">
        <f>IF(Tableau3453[[#This Row],[Date 
du paiement]]="",$D$4-Tableau3453[[#This Row],[Date
de la facture]],Tableau3453[[#This Row],[Date 
du paiement]]-Tableau3453[[#This Row],[Date
de la facture]])</f>
        <v>77</v>
      </c>
      <c r="N755" s="485" t="str">
        <f>IF(Tableau3453[[#This Row],[Date 
du paiement]]="",IF(Tableau3453[[#This Row],[Jours]]&lt;30,Tableau3453[[#This Row],[Montant
de la facture
CHF]],""),"")</f>
        <v/>
      </c>
      <c r="O755" s="485" t="str">
        <f>IF(Tableau3453[[#This Row],[Date 
du paiement]]="",IF(Tableau3453[[#This Row],[Jours]]&gt;30,IF(Tableau3453[[#This Row],[Jours]]&lt;60,Tableau3453[[#This Row],[Montant
de la facture
CHF]],""),""),"")</f>
        <v/>
      </c>
      <c r="P755" s="485" t="str">
        <f>IF(Tableau3453[[#This Row],[Date 
du paiement]]="",IF(Tableau3453[[#This Row],[Jours]]&gt;60,Tableau3453[[#This Row],[Montant
de la facture
CHF]],""),"")</f>
        <v/>
      </c>
      <c r="Q755" s="491" t="s">
        <v>1784</v>
      </c>
      <c r="R755" s="492" t="str">
        <f>Tableau3453[[#This Row],[Solde 
ouverte
fm]]</f>
        <v/>
      </c>
      <c r="S755" s="48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56" spans="1:19" outlineLevel="1" x14ac:dyDescent="0.25">
      <c r="A756" s="473">
        <v>240971</v>
      </c>
      <c r="B756" s="482" t="s">
        <v>860</v>
      </c>
      <c r="C756" s="497" t="str">
        <f ca="1">IF(Tableau3453[[#This Row],[Date 
du paiement]]="",IF(Tableau3453[[#This Row],[Jours]]&gt;Tableau3453[[#This Row],[Conditions
pmt+]]+5,"oui",""),"")</f>
        <v/>
      </c>
      <c r="D756" s="498" t="s">
        <v>1026</v>
      </c>
      <c r="E756" s="455">
        <v>45589</v>
      </c>
      <c r="F756" s="499">
        <v>1364.35</v>
      </c>
      <c r="G756" s="504">
        <f>IF(Tableau3453[[#This Row],[Date 
du paiement]]="",Tableau3453[[#This Row],[Montant
de la facture
CHF]],"")</f>
        <v>1364.35</v>
      </c>
      <c r="H756" s="486"/>
      <c r="I756" s="493">
        <v>45589</v>
      </c>
      <c r="J756" s="460"/>
      <c r="K756" s="461"/>
      <c r="L756" s="469"/>
      <c r="M756" s="470">
        <f ca="1">IF(Tableau3453[[#This Row],[Date 
du paiement]]="",$D$4-Tableau3453[[#This Row],[Date
de la facture]],Tableau3453[[#This Row],[Date 
du paiement]]-Tableau3453[[#This Row],[Date
de la facture]])</f>
        <v>28.46942534721893</v>
      </c>
      <c r="N756" s="485">
        <f ca="1">IF(Tableau3453[[#This Row],[Date 
du paiement]]="",IF(Tableau3453[[#This Row],[Jours]]&lt;30,Tableau3453[[#This Row],[Montant
de la facture
CHF]],""),"")</f>
        <v>1364.35</v>
      </c>
      <c r="O756" s="485" t="str">
        <f ca="1">IF(Tableau3453[[#This Row],[Date 
du paiement]]="",IF(Tableau3453[[#This Row],[Jours]]&gt;30,IF(Tableau3453[[#This Row],[Jours]]&lt;60,Tableau3453[[#This Row],[Montant
de la facture
CHF]],""),""),"")</f>
        <v/>
      </c>
      <c r="P756" s="485" t="str">
        <f ca="1">IF(Tableau3453[[#This Row],[Date 
du paiement]]="",IF(Tableau3453[[#This Row],[Jours]]&gt;60,Tableau3453[[#This Row],[Montant
de la facture
CHF]],""),"")</f>
        <v/>
      </c>
      <c r="Q756" s="491"/>
      <c r="R756" s="472">
        <f>Tableau3453[[#This Row],[Solde 
ouverte
fm]]</f>
        <v>1364.35</v>
      </c>
      <c r="S756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57" spans="1:19" outlineLevel="1" x14ac:dyDescent="0.25">
      <c r="A757" s="481">
        <v>240965</v>
      </c>
      <c r="B757" s="482">
        <v>30</v>
      </c>
      <c r="C757" s="507" t="str">
        <f ca="1">IF(Tableau3453[[#This Row],[Date 
du paiement]]="",IF(Tableau3453[[#This Row],[Jours]]&gt;Tableau3453[[#This Row],[Conditions
pmt+]]+5,"oui",""),"")</f>
        <v>oui</v>
      </c>
      <c r="D757" s="483" t="s">
        <v>1183</v>
      </c>
      <c r="E757" s="484">
        <v>45575</v>
      </c>
      <c r="F757" s="485">
        <v>4857.05</v>
      </c>
      <c r="G757" s="503">
        <f>IF(Tableau3453[[#This Row],[Date 
du paiement]]="",Tableau3453[[#This Row],[Montant
de la facture
CHF]],"")</f>
        <v>4857.05</v>
      </c>
      <c r="H757" s="486"/>
      <c r="I757" s="493">
        <v>45579</v>
      </c>
      <c r="J757" s="487"/>
      <c r="K757" s="488"/>
      <c r="L757" s="489">
        <v>1</v>
      </c>
      <c r="M757" s="490">
        <f ca="1">IF(Tableau3453[[#This Row],[Date 
du paiement]]="",$D$4-Tableau3453[[#This Row],[Date
de la facture]],Tableau3453[[#This Row],[Date 
du paiement]]-Tableau3453[[#This Row],[Date
de la facture]])</f>
        <v>42.46942534721893</v>
      </c>
      <c r="N757" s="485" t="str">
        <f ca="1">IF(Tableau3453[[#This Row],[Date 
du paiement]]="",IF(Tableau3453[[#This Row],[Jours]]&lt;30,Tableau3453[[#This Row],[Montant
de la facture
CHF]],""),"")</f>
        <v/>
      </c>
      <c r="O757" s="485">
        <f ca="1">IF(Tableau3453[[#This Row],[Date 
du paiement]]="",IF(Tableau3453[[#This Row],[Jours]]&gt;30,IF(Tableau3453[[#This Row],[Jours]]&lt;60,Tableau3453[[#This Row],[Montant
de la facture
CHF]],""),""),"")</f>
        <v>4857.05</v>
      </c>
      <c r="P757" s="485" t="str">
        <f ca="1">IF(Tableau3453[[#This Row],[Date 
du paiement]]="",IF(Tableau3453[[#This Row],[Jours]]&gt;60,Tableau3453[[#This Row],[Montant
de la facture
CHF]],""),"")</f>
        <v/>
      </c>
      <c r="Q757" s="491"/>
      <c r="R757" s="492">
        <f>Tableau3453[[#This Row],[Solde 
ouverte
fm]]</f>
        <v>4857.05</v>
      </c>
      <c r="S757" s="485">
        <f ca="1">IF(Tableau3453[[#This Row],[Date 
du paiement]]="",IF(Tableau3453[[#This Row],[Jours]]-Tableau3453[[#This Row],[Conditions
pmt+]]&gt;0,Tableau3453[[#This Row],[Montant
de la facture
CHF]],"0.00"),"0.00")</f>
        <v>4857.05</v>
      </c>
    </row>
    <row r="758" spans="1:19" outlineLevel="1" x14ac:dyDescent="0.25">
      <c r="A758" s="481">
        <v>240984</v>
      </c>
      <c r="B758" s="482">
        <v>30</v>
      </c>
      <c r="C758" s="507" t="str">
        <f ca="1">IF(Tableau3453[[#This Row],[Date 
du paiement]]="",IF(Tableau3453[[#This Row],[Jours]]&gt;Tableau3453[[#This Row],[Conditions
pmt+]]+5,"oui",""),"")</f>
        <v>oui</v>
      </c>
      <c r="D758" s="483" t="s">
        <v>1183</v>
      </c>
      <c r="E758" s="484">
        <v>45579</v>
      </c>
      <c r="F758" s="485">
        <v>1261.3499999999999</v>
      </c>
      <c r="G758" s="503">
        <f>IF(Tableau3453[[#This Row],[Date 
du paiement]]="",Tableau3453[[#This Row],[Montant
de la facture
CHF]],"")</f>
        <v>1261.3499999999999</v>
      </c>
      <c r="H758" s="486"/>
      <c r="I758" s="493">
        <v>45580</v>
      </c>
      <c r="J758" s="487"/>
      <c r="K758" s="488"/>
      <c r="L758" s="489">
        <v>1</v>
      </c>
      <c r="M758" s="490">
        <f ca="1">IF(Tableau3453[[#This Row],[Date 
du paiement]]="",$D$4-Tableau3453[[#This Row],[Date
de la facture]],Tableau3453[[#This Row],[Date 
du paiement]]-Tableau3453[[#This Row],[Date
de la facture]])</f>
        <v>38.46942534721893</v>
      </c>
      <c r="N758" s="485" t="str">
        <f ca="1">IF(Tableau3453[[#This Row],[Date 
du paiement]]="",IF(Tableau3453[[#This Row],[Jours]]&lt;30,Tableau3453[[#This Row],[Montant
de la facture
CHF]],""),"")</f>
        <v/>
      </c>
      <c r="O758" s="485">
        <f ca="1">IF(Tableau3453[[#This Row],[Date 
du paiement]]="",IF(Tableau3453[[#This Row],[Jours]]&gt;30,IF(Tableau3453[[#This Row],[Jours]]&lt;60,Tableau3453[[#This Row],[Montant
de la facture
CHF]],""),""),"")</f>
        <v>1261.3499999999999</v>
      </c>
      <c r="P758" s="485" t="str">
        <f ca="1">IF(Tableau3453[[#This Row],[Date 
du paiement]]="",IF(Tableau3453[[#This Row],[Jours]]&gt;60,Tableau3453[[#This Row],[Montant
de la facture
CHF]],""),"")</f>
        <v/>
      </c>
      <c r="Q758" s="491"/>
      <c r="R758" s="492">
        <f>Tableau3453[[#This Row],[Solde 
ouverte
fm]]</f>
        <v>1261.3499999999999</v>
      </c>
      <c r="S758" s="485">
        <f ca="1">IF(Tableau3453[[#This Row],[Date 
du paiement]]="",IF(Tableau3453[[#This Row],[Jours]]-Tableau3453[[#This Row],[Conditions
pmt+]]&gt;0,Tableau3453[[#This Row],[Montant
de la facture
CHF]],"0.00"),"0.00")</f>
        <v>1261.3499999999999</v>
      </c>
    </row>
    <row r="759" spans="1:19" outlineLevel="1" x14ac:dyDescent="0.25">
      <c r="A759" s="473">
        <v>240985</v>
      </c>
      <c r="B759" s="454">
        <v>30</v>
      </c>
      <c r="C759" s="505" t="str">
        <f ca="1">IF(Tableau3453[[#This Row],[Date 
du paiement]]="",IF(Tableau3453[[#This Row],[Jours]]&gt;Tableau3453[[#This Row],[Conditions
pmt+]]+5,"oui",""),"")</f>
        <v>oui</v>
      </c>
      <c r="D759" s="467" t="s">
        <v>919</v>
      </c>
      <c r="E759" s="455">
        <v>45579</v>
      </c>
      <c r="F759" s="468">
        <v>4329.1000000000004</v>
      </c>
      <c r="G759" s="501">
        <f>IF(Tableau3453[[#This Row],[Date 
du paiement]]="",Tableau3453[[#This Row],[Montant
de la facture
CHF]],"")</f>
        <v>4329.1000000000004</v>
      </c>
      <c r="H759" s="458"/>
      <c r="I759" s="493">
        <v>45580</v>
      </c>
      <c r="J759" s="460"/>
      <c r="K759" s="461"/>
      <c r="L759" s="469">
        <v>1</v>
      </c>
      <c r="M759" s="470">
        <f ca="1">IF(Tableau3453[[#This Row],[Date 
du paiement]]="",$D$4-Tableau3453[[#This Row],[Date
de la facture]],Tableau3453[[#This Row],[Date 
du paiement]]-Tableau3453[[#This Row],[Date
de la facture]])</f>
        <v>38.46942534721893</v>
      </c>
      <c r="N759" s="468" t="str">
        <f ca="1">IF(Tableau3453[[#This Row],[Date 
du paiement]]="",IF(Tableau3453[[#This Row],[Jours]]&lt;30,Tableau3453[[#This Row],[Montant
de la facture
CHF]],""),"")</f>
        <v/>
      </c>
      <c r="O759" s="468">
        <f ca="1">IF(Tableau3453[[#This Row],[Date 
du paiement]]="",IF(Tableau3453[[#This Row],[Jours]]&gt;30,IF(Tableau3453[[#This Row],[Jours]]&lt;60,Tableau3453[[#This Row],[Montant
de la facture
CHF]],""),""),"")</f>
        <v>4329.1000000000004</v>
      </c>
      <c r="P759" s="468" t="str">
        <f ca="1">IF(Tableau3453[[#This Row],[Date 
du paiement]]="",IF(Tableau3453[[#This Row],[Jours]]&gt;60,Tableau3453[[#This Row],[Montant
de la facture
CHF]],""),"")</f>
        <v/>
      </c>
      <c r="Q759" s="471"/>
      <c r="R759" s="472">
        <f>Tableau3453[[#This Row],[Solde 
ouverte
fm]]</f>
        <v>4329.1000000000004</v>
      </c>
      <c r="S759" s="468">
        <f ca="1">IF(Tableau3453[[#This Row],[Date 
du paiement]]="",IF(Tableau3453[[#This Row],[Jours]]-Tableau3453[[#This Row],[Conditions
pmt+]]&gt;0,Tableau3453[[#This Row],[Montant
de la facture
CHF]],"0.00"),"0.00")</f>
        <v>4329.1000000000004</v>
      </c>
    </row>
    <row r="760" spans="1:19" hidden="1" outlineLevel="1" x14ac:dyDescent="0.25">
      <c r="A760" s="473">
        <v>241024</v>
      </c>
      <c r="B760" s="454">
        <v>30</v>
      </c>
      <c r="C760" s="505" t="str">
        <f>IF(Tableau3453[[#This Row],[Date 
du paiement]]="",IF(Tableau3453[[#This Row],[Jours]]&gt;Tableau3453[[#This Row],[Conditions
pmt+]]+5,"oui",""),"")</f>
        <v/>
      </c>
      <c r="D760" s="467" t="s">
        <v>885</v>
      </c>
      <c r="E760" s="455">
        <v>45603</v>
      </c>
      <c r="F760" s="468">
        <v>2835.25</v>
      </c>
      <c r="G760" s="501" t="str">
        <f>IF(Tableau3453[[#This Row],[Date 
du paiement]]="",Tableau3453[[#This Row],[Montant
de la facture
CHF]],"")</f>
        <v/>
      </c>
      <c r="H760" s="458"/>
      <c r="I760" s="493">
        <v>45607</v>
      </c>
      <c r="J760" s="460">
        <v>45608</v>
      </c>
      <c r="K760" s="461" t="s">
        <v>58</v>
      </c>
      <c r="L760" s="469"/>
      <c r="M760" s="470">
        <f>IF(Tableau3453[[#This Row],[Date 
du paiement]]="",$D$4-Tableau3453[[#This Row],[Date
de la facture]],Tableau3453[[#This Row],[Date 
du paiement]]-Tableau3453[[#This Row],[Date
de la facture]])</f>
        <v>5</v>
      </c>
      <c r="N760" s="468" t="str">
        <f>IF(Tableau3453[[#This Row],[Date 
du paiement]]="",IF(Tableau3453[[#This Row],[Jours]]&lt;30,Tableau3453[[#This Row],[Montant
de la facture
CHF]],""),"")</f>
        <v/>
      </c>
      <c r="O760" s="468" t="str">
        <f>IF(Tableau3453[[#This Row],[Date 
du paiement]]="",IF(Tableau3453[[#This Row],[Jours]]&gt;30,IF(Tableau3453[[#This Row],[Jours]]&lt;60,Tableau3453[[#This Row],[Montant
de la facture
CHF]],""),""),"")</f>
        <v/>
      </c>
      <c r="P760" s="468" t="str">
        <f>IF(Tableau3453[[#This Row],[Date 
du paiement]]="",IF(Tableau3453[[#This Row],[Jours]]&gt;60,Tableau3453[[#This Row],[Montant
de la facture
CHF]],""),"")</f>
        <v/>
      </c>
      <c r="Q760" s="471"/>
      <c r="R760" s="472" t="str">
        <f>Tableau3453[[#This Row],[Solde 
ouverte
fm]]</f>
        <v/>
      </c>
      <c r="S760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61" spans="1:19" outlineLevel="1" x14ac:dyDescent="0.25">
      <c r="A761" s="473">
        <v>241008</v>
      </c>
      <c r="B761" s="454">
        <v>30</v>
      </c>
      <c r="C761" s="505" t="str">
        <f ca="1">IF(Tableau3453[[#This Row],[Date 
du paiement]]="",IF(Tableau3453[[#This Row],[Jours]]&gt;Tableau3453[[#This Row],[Conditions
pmt+]]+5,"oui",""),"")</f>
        <v/>
      </c>
      <c r="D761" s="467" t="s">
        <v>919</v>
      </c>
      <c r="E761" s="455">
        <v>45588</v>
      </c>
      <c r="F761" s="468">
        <v>2733.85</v>
      </c>
      <c r="G761" s="501">
        <f>IF(Tableau3453[[#This Row],[Date 
du paiement]]="",Tableau3453[[#This Row],[Montant
de la facture
CHF]],"")</f>
        <v>2733.85</v>
      </c>
      <c r="H761" s="458"/>
      <c r="I761" s="493">
        <v>45589</v>
      </c>
      <c r="J761" s="460"/>
      <c r="K761" s="461"/>
      <c r="L761" s="469"/>
      <c r="M761" s="470">
        <f ca="1">IF(Tableau3453[[#This Row],[Date 
du paiement]]="",$D$4-Tableau3453[[#This Row],[Date
de la facture]],Tableau3453[[#This Row],[Date 
du paiement]]-Tableau3453[[#This Row],[Date
de la facture]])</f>
        <v>29.46942534721893</v>
      </c>
      <c r="N761" s="468">
        <f ca="1">IF(Tableau3453[[#This Row],[Date 
du paiement]]="",IF(Tableau3453[[#This Row],[Jours]]&lt;30,Tableau3453[[#This Row],[Montant
de la facture
CHF]],""),"")</f>
        <v>2733.85</v>
      </c>
      <c r="O761" s="468" t="str">
        <f ca="1">IF(Tableau3453[[#This Row],[Date 
du paiement]]="",IF(Tableau3453[[#This Row],[Jours]]&gt;30,IF(Tableau3453[[#This Row],[Jours]]&lt;60,Tableau3453[[#This Row],[Montant
de la facture
CHF]],""),""),"")</f>
        <v/>
      </c>
      <c r="P761" s="468" t="str">
        <f ca="1">IF(Tableau3453[[#This Row],[Date 
du paiement]]="",IF(Tableau3453[[#This Row],[Jours]]&gt;60,Tableau3453[[#This Row],[Montant
de la facture
CHF]],""),"")</f>
        <v/>
      </c>
      <c r="Q761" s="471"/>
      <c r="R761" s="472">
        <f>Tableau3453[[#This Row],[Solde 
ouverte
fm]]</f>
        <v>2733.85</v>
      </c>
      <c r="S761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62" spans="1:19" outlineLevel="1" x14ac:dyDescent="0.25">
      <c r="A762" s="481">
        <v>241011</v>
      </c>
      <c r="B762" s="482">
        <v>30</v>
      </c>
      <c r="C762" s="507" t="str">
        <f ca="1">IF(Tableau3453[[#This Row],[Date 
du paiement]]="",IF(Tableau3453[[#This Row],[Jours]]&gt;Tableau3453[[#This Row],[Conditions
pmt+]]+5,"oui",""),"")</f>
        <v/>
      </c>
      <c r="D762" s="483" t="s">
        <v>919</v>
      </c>
      <c r="E762" s="484">
        <v>45597</v>
      </c>
      <c r="F762" s="485">
        <v>961.95</v>
      </c>
      <c r="G762" s="503">
        <f>IF(Tableau3453[[#This Row],[Date 
du paiement]]="",Tableau3453[[#This Row],[Montant
de la facture
CHF]],"")</f>
        <v>961.95</v>
      </c>
      <c r="H762" s="486"/>
      <c r="I762" s="493">
        <v>45602</v>
      </c>
      <c r="J762" s="487"/>
      <c r="K762" s="488"/>
      <c r="L762" s="489"/>
      <c r="M762" s="490">
        <f ca="1">IF(Tableau3453[[#This Row],[Date 
du paiement]]="",$D$4-Tableau3453[[#This Row],[Date
de la facture]],Tableau3453[[#This Row],[Date 
du paiement]]-Tableau3453[[#This Row],[Date
de la facture]])</f>
        <v>20.46942534721893</v>
      </c>
      <c r="N762" s="485">
        <f ca="1">IF(Tableau3453[[#This Row],[Date 
du paiement]]="",IF(Tableau3453[[#This Row],[Jours]]&lt;30,Tableau3453[[#This Row],[Montant
de la facture
CHF]],""),"")</f>
        <v>961.95</v>
      </c>
      <c r="O762" s="485" t="str">
        <f ca="1">IF(Tableau3453[[#This Row],[Date 
du paiement]]="",IF(Tableau3453[[#This Row],[Jours]]&gt;30,IF(Tableau3453[[#This Row],[Jours]]&lt;60,Tableau3453[[#This Row],[Montant
de la facture
CHF]],""),""),"")</f>
        <v/>
      </c>
      <c r="P762" s="485" t="str">
        <f ca="1">IF(Tableau3453[[#This Row],[Date 
du paiement]]="",IF(Tableau3453[[#This Row],[Jours]]&gt;60,Tableau3453[[#This Row],[Montant
de la facture
CHF]],""),"")</f>
        <v/>
      </c>
      <c r="Q762" s="491"/>
      <c r="R762" s="492">
        <f>Tableau3453[[#This Row],[Solde 
ouverte
fm]]</f>
        <v>961.95</v>
      </c>
      <c r="S762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63" spans="1:19" hidden="1" outlineLevel="1" x14ac:dyDescent="0.25">
      <c r="A763" s="481">
        <v>241042</v>
      </c>
      <c r="B763" s="482">
        <v>30</v>
      </c>
      <c r="C763" s="497" t="str">
        <f>IF(Tableau3453[[#This Row],[Date 
du paiement]]="",IF(Tableau3453[[#This Row],[Jours]]&gt;Tableau3453[[#This Row],[Conditions
pmt+]]+5,"oui",""),"")</f>
        <v/>
      </c>
      <c r="D763" s="483" t="s">
        <v>924</v>
      </c>
      <c r="E763" s="484">
        <v>45600</v>
      </c>
      <c r="F763" s="485">
        <v>1244.4000000000001</v>
      </c>
      <c r="G763" s="503" t="str">
        <f>IF(Tableau3453[[#This Row],[Date 
du paiement]]="",Tableau3453[[#This Row],[Montant
de la facture
CHF]],"")</f>
        <v/>
      </c>
      <c r="H763" s="486"/>
      <c r="I763" s="493">
        <v>45607</v>
      </c>
      <c r="J763" s="487">
        <v>45597</v>
      </c>
      <c r="K763" s="488" t="s">
        <v>58</v>
      </c>
      <c r="L763" s="489"/>
      <c r="M763" s="490">
        <f>IF(Tableau3453[[#This Row],[Date 
du paiement]]="",$D$4-Tableau3453[[#This Row],[Date
de la facture]],Tableau3453[[#This Row],[Date 
du paiement]]-Tableau3453[[#This Row],[Date
de la facture]])</f>
        <v>-3</v>
      </c>
      <c r="N763" s="485" t="str">
        <f>IF(Tableau3453[[#This Row],[Date 
du paiement]]="",IF(Tableau3453[[#This Row],[Jours]]&lt;30,Tableau3453[[#This Row],[Montant
de la facture
CHF]],""),"")</f>
        <v/>
      </c>
      <c r="O763" s="485" t="str">
        <f>IF(Tableau3453[[#This Row],[Date 
du paiement]]="",IF(Tableau3453[[#This Row],[Jours]]&gt;30,IF(Tableau3453[[#This Row],[Jours]]&lt;60,Tableau3453[[#This Row],[Montant
de la facture
CHF]],""),""),"")</f>
        <v/>
      </c>
      <c r="P763" s="485" t="str">
        <f>IF(Tableau3453[[#This Row],[Date 
du paiement]]="",IF(Tableau3453[[#This Row],[Jours]]&gt;60,Tableau3453[[#This Row],[Montant
de la facture
CHF]],""),"")</f>
        <v/>
      </c>
      <c r="Q763" s="491"/>
      <c r="R763" s="492" t="str">
        <f>Tableau3453[[#This Row],[Solde 
ouverte
fm]]</f>
        <v/>
      </c>
      <c r="S763" s="48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64" spans="1:19" outlineLevel="1" x14ac:dyDescent="0.25">
      <c r="A764" s="481">
        <v>241090</v>
      </c>
      <c r="B764" s="482">
        <v>30</v>
      </c>
      <c r="C764" s="507" t="str">
        <f ca="1">IF(Tableau3453[[#This Row],[Date 
du paiement]]="",IF(Tableau3453[[#This Row],[Jours]]&gt;Tableau3453[[#This Row],[Conditions
pmt+]]+5,"oui",""),"")</f>
        <v/>
      </c>
      <c r="D764" s="483" t="s">
        <v>1834</v>
      </c>
      <c r="E764" s="484">
        <v>45615</v>
      </c>
      <c r="F764" s="485">
        <v>1822.4</v>
      </c>
      <c r="G764" s="503">
        <f>IF(Tableau3453[[#This Row],[Date 
du paiement]]="",Tableau3453[[#This Row],[Montant
de la facture
CHF]],"")</f>
        <v>1822.4</v>
      </c>
      <c r="H764" s="486"/>
      <c r="I764" s="493">
        <v>45616</v>
      </c>
      <c r="J764" s="487"/>
      <c r="K764" s="488"/>
      <c r="L764" s="489"/>
      <c r="M764" s="490">
        <f ca="1">IF(Tableau3453[[#This Row],[Date 
du paiement]]="",$D$4-Tableau3453[[#This Row],[Date
de la facture]],Tableau3453[[#This Row],[Date 
du paiement]]-Tableau3453[[#This Row],[Date
de la facture]])</f>
        <v>2.4694253472189303</v>
      </c>
      <c r="N764" s="485">
        <f ca="1">IF(Tableau3453[[#This Row],[Date 
du paiement]]="",IF(Tableau3453[[#This Row],[Jours]]&lt;30,Tableau3453[[#This Row],[Montant
de la facture
CHF]],""),"")</f>
        <v>1822.4</v>
      </c>
      <c r="O764" s="485" t="str">
        <f ca="1">IF(Tableau3453[[#This Row],[Date 
du paiement]]="",IF(Tableau3453[[#This Row],[Jours]]&gt;30,IF(Tableau3453[[#This Row],[Jours]]&lt;60,Tableau3453[[#This Row],[Montant
de la facture
CHF]],""),""),"")</f>
        <v/>
      </c>
      <c r="P764" s="485" t="str">
        <f ca="1">IF(Tableau3453[[#This Row],[Date 
du paiement]]="",IF(Tableau3453[[#This Row],[Jours]]&gt;60,Tableau3453[[#This Row],[Montant
de la facture
CHF]],""),"")</f>
        <v/>
      </c>
      <c r="Q764" s="491"/>
      <c r="R764" s="492">
        <f>Tableau3453[[#This Row],[Solde 
ouverte
fm]]</f>
        <v>1822.4</v>
      </c>
      <c r="S764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65" spans="1:19" outlineLevel="1" x14ac:dyDescent="0.25">
      <c r="A765" s="473">
        <v>20</v>
      </c>
      <c r="B765" s="454">
        <v>30</v>
      </c>
      <c r="C765" s="495" t="str">
        <f ca="1">IF(Tableau3453[[#This Row],[Date 
du paiement]]="",IF(Tableau3453[[#This Row],[Jours]]&gt;Tableau3453[[#This Row],[Conditions
pmt+]]+5,"oui",""),"")</f>
        <v>oui</v>
      </c>
      <c r="D765" s="467" t="s">
        <v>1118</v>
      </c>
      <c r="E765" s="455">
        <v>45541</v>
      </c>
      <c r="F765" s="494">
        <v>-35.700000000000003</v>
      </c>
      <c r="G765" s="457">
        <f>IF(Tableau3453[[#This Row],[Date 
du paiement]]="",Tableau3453[[#This Row],[Montant
de la facture
CHF]],"")</f>
        <v>-35.700000000000003</v>
      </c>
      <c r="H765" s="458"/>
      <c r="I765" s="493">
        <v>45541</v>
      </c>
      <c r="J765" s="460"/>
      <c r="K765" s="461"/>
      <c r="L765" s="506"/>
      <c r="M765" s="470">
        <f ca="1">IF(Tableau3453[[#This Row],[Date 
du paiement]]="",$D$4-Tableau3453[[#This Row],[Date
de la facture]],Tableau3453[[#This Row],[Date 
du paiement]]-Tableau3453[[#This Row],[Date
de la facture]])</f>
        <v>76.46942534721893</v>
      </c>
      <c r="N765" s="468" t="str">
        <f ca="1">IF(Tableau3453[[#This Row],[Date 
du paiement]]="",IF(Tableau3453[[#This Row],[Jours]]&lt;30,Tableau3453[[#This Row],[Montant
de la facture
CHF]],""),"")</f>
        <v/>
      </c>
      <c r="O765" s="468" t="str">
        <f ca="1">IF(Tableau3453[[#This Row],[Date 
du paiement]]="",IF(Tableau3453[[#This Row],[Jours]]&gt;30,IF(Tableau3453[[#This Row],[Jours]]&lt;60,Tableau3453[[#This Row],[Montant
de la facture
CHF]],""),""),"")</f>
        <v/>
      </c>
      <c r="P765" s="468">
        <f ca="1">IF(Tableau3453[[#This Row],[Date 
du paiement]]="",IF(Tableau3453[[#This Row],[Jours]]&gt;60,Tableau3453[[#This Row],[Montant
de la facture
CHF]],""),"")</f>
        <v>-35.700000000000003</v>
      </c>
      <c r="Q765" s="471"/>
      <c r="R765" s="472">
        <f>Tableau3453[[#This Row],[Solde 
ouverte
fm]]</f>
        <v>-35.700000000000003</v>
      </c>
      <c r="S765" s="468">
        <f ca="1">IF(Tableau3453[[#This Row],[Date 
du paiement]]="",IF(Tableau3453[[#This Row],[Jours]]-Tableau3453[[#This Row],[Conditions
pmt+]]&gt;0,Tableau3453[[#This Row],[Montant
de la facture
CHF]],"0.00"),"0.00")</f>
        <v>-35.700000000000003</v>
      </c>
    </row>
    <row r="766" spans="1:19" outlineLevel="1" x14ac:dyDescent="0.25">
      <c r="A766" s="473">
        <v>240980</v>
      </c>
      <c r="B766" s="454">
        <v>30</v>
      </c>
      <c r="C766" s="505" t="str">
        <f ca="1">IF(Tableau3453[[#This Row],[Date 
du paiement]]="",IF(Tableau3453[[#This Row],[Jours]]&gt;Tableau3453[[#This Row],[Conditions
pmt+]]+5,"oui",""),"")</f>
        <v>oui</v>
      </c>
      <c r="D766" s="467" t="s">
        <v>909</v>
      </c>
      <c r="E766" s="455">
        <v>45580</v>
      </c>
      <c r="F766" s="468">
        <v>2053.1</v>
      </c>
      <c r="G766" s="501">
        <f>IF(Tableau3453[[#This Row],[Date 
du paiement]]="",Tableau3453[[#This Row],[Montant
de la facture
CHF]],"")</f>
        <v>2053.1</v>
      </c>
      <c r="H766" s="458"/>
      <c r="I766" s="493">
        <v>45582</v>
      </c>
      <c r="J766" s="460"/>
      <c r="K766" s="461"/>
      <c r="L766" s="469">
        <v>1</v>
      </c>
      <c r="M766" s="470">
        <f ca="1">IF(Tableau3453[[#This Row],[Date 
du paiement]]="",$D$4-Tableau3453[[#This Row],[Date
de la facture]],Tableau3453[[#This Row],[Date 
du paiement]]-Tableau3453[[#This Row],[Date
de la facture]])</f>
        <v>37.46942534721893</v>
      </c>
      <c r="N766" s="468" t="str">
        <f ca="1">IF(Tableau3453[[#This Row],[Date 
du paiement]]="",IF(Tableau3453[[#This Row],[Jours]]&lt;30,Tableau3453[[#This Row],[Montant
de la facture
CHF]],""),"")</f>
        <v/>
      </c>
      <c r="O766" s="468">
        <f ca="1">IF(Tableau3453[[#This Row],[Date 
du paiement]]="",IF(Tableau3453[[#This Row],[Jours]]&gt;30,IF(Tableau3453[[#This Row],[Jours]]&lt;60,Tableau3453[[#This Row],[Montant
de la facture
CHF]],""),""),"")</f>
        <v>2053.1</v>
      </c>
      <c r="P766" s="468" t="str">
        <f ca="1">IF(Tableau3453[[#This Row],[Date 
du paiement]]="",IF(Tableau3453[[#This Row],[Jours]]&gt;60,Tableau3453[[#This Row],[Montant
de la facture
CHF]],""),"")</f>
        <v/>
      </c>
      <c r="Q766" s="471"/>
      <c r="R766" s="472">
        <f>Tableau3453[[#This Row],[Solde 
ouverte
fm]]</f>
        <v>2053.1</v>
      </c>
      <c r="S766" s="468">
        <f ca="1">IF(Tableau3453[[#This Row],[Date 
du paiement]]="",IF(Tableau3453[[#This Row],[Jours]]-Tableau3453[[#This Row],[Conditions
pmt+]]&gt;0,Tableau3453[[#This Row],[Montant
de la facture
CHF]],"0.00"),"0.00")</f>
        <v>2053.1</v>
      </c>
    </row>
    <row r="767" spans="1:19" outlineLevel="1" x14ac:dyDescent="0.25">
      <c r="A767" s="473">
        <v>241076</v>
      </c>
      <c r="B767" s="454">
        <v>30</v>
      </c>
      <c r="C767" s="505" t="str">
        <f ca="1">IF(Tableau3453[[#This Row],[Date 
du paiement]]="",IF(Tableau3453[[#This Row],[Jours]]&gt;Tableau3453[[#This Row],[Conditions
pmt+]]+5,"oui",""),"")</f>
        <v/>
      </c>
      <c r="D767" s="467" t="s">
        <v>909</v>
      </c>
      <c r="E767" s="455">
        <v>45614</v>
      </c>
      <c r="F767" s="468">
        <v>3122.4</v>
      </c>
      <c r="G767" s="501">
        <f>IF(Tableau3453[[#This Row],[Date 
du paiement]]="",Tableau3453[[#This Row],[Montant
de la facture
CHF]],"")</f>
        <v>3122.4</v>
      </c>
      <c r="H767" s="458"/>
      <c r="I767" s="493">
        <v>45616</v>
      </c>
      <c r="J767" s="460"/>
      <c r="K767" s="461"/>
      <c r="L767" s="469"/>
      <c r="M767" s="470">
        <f ca="1">IF(Tableau3453[[#This Row],[Date 
du paiement]]="",$D$4-Tableau3453[[#This Row],[Date
de la facture]],Tableau3453[[#This Row],[Date 
du paiement]]-Tableau3453[[#This Row],[Date
de la facture]])</f>
        <v>3.4694253472189303</v>
      </c>
      <c r="N767" s="468">
        <f ca="1">IF(Tableau3453[[#This Row],[Date 
du paiement]]="",IF(Tableau3453[[#This Row],[Jours]]&lt;30,Tableau3453[[#This Row],[Montant
de la facture
CHF]],""),"")</f>
        <v>3122.4</v>
      </c>
      <c r="O767" s="468" t="str">
        <f ca="1">IF(Tableau3453[[#This Row],[Date 
du paiement]]="",IF(Tableau3453[[#This Row],[Jours]]&gt;30,IF(Tableau3453[[#This Row],[Jours]]&lt;60,Tableau3453[[#This Row],[Montant
de la facture
CHF]],""),""),"")</f>
        <v/>
      </c>
      <c r="P767" s="468" t="str">
        <f ca="1">IF(Tableau3453[[#This Row],[Date 
du paiement]]="",IF(Tableau3453[[#This Row],[Jours]]&gt;60,Tableau3453[[#This Row],[Montant
de la facture
CHF]],""),"")</f>
        <v/>
      </c>
      <c r="Q767" s="471"/>
      <c r="R767" s="472">
        <f>Tableau3453[[#This Row],[Solde 
ouverte
fm]]</f>
        <v>3122.4</v>
      </c>
      <c r="S767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68" spans="1:19" outlineLevel="1" x14ac:dyDescent="0.25">
      <c r="A768" s="481">
        <v>240967</v>
      </c>
      <c r="B768" s="482">
        <v>30</v>
      </c>
      <c r="C768" s="497" t="str">
        <f ca="1">IF(Tableau3453[[#This Row],[Date 
du paiement]]="",IF(Tableau3453[[#This Row],[Jours]]&gt;Tableau3453[[#This Row],[Conditions
pmt+]]+5,"oui",""),"")</f>
        <v>oui</v>
      </c>
      <c r="D768" s="483" t="s">
        <v>1184</v>
      </c>
      <c r="E768" s="484">
        <v>45572</v>
      </c>
      <c r="F768" s="485">
        <v>419.75</v>
      </c>
      <c r="G768" s="503">
        <f>IF(Tableau3453[[#This Row],[Date 
du paiement]]="",Tableau3453[[#This Row],[Montant
de la facture
CHF]],"")</f>
        <v>419.75</v>
      </c>
      <c r="H768" s="486"/>
      <c r="I768" s="493">
        <v>45573</v>
      </c>
      <c r="J768" s="487"/>
      <c r="K768" s="488"/>
      <c r="L768" s="489">
        <v>2</v>
      </c>
      <c r="M768" s="490">
        <f ca="1">IF(Tableau3453[[#This Row],[Date 
du paiement]]="",$D$4-Tableau3453[[#This Row],[Date
de la facture]],Tableau3453[[#This Row],[Date 
du paiement]]-Tableau3453[[#This Row],[Date
de la facture]])</f>
        <v>45.46942534721893</v>
      </c>
      <c r="N768" s="485" t="str">
        <f ca="1">IF(Tableau3453[[#This Row],[Date 
du paiement]]="",IF(Tableau3453[[#This Row],[Jours]]&lt;30,Tableau3453[[#This Row],[Montant
de la facture
CHF]],""),"")</f>
        <v/>
      </c>
      <c r="O768" s="485">
        <f ca="1">IF(Tableau3453[[#This Row],[Date 
du paiement]]="",IF(Tableau3453[[#This Row],[Jours]]&gt;30,IF(Tableau3453[[#This Row],[Jours]]&lt;60,Tableau3453[[#This Row],[Montant
de la facture
CHF]],""),""),"")</f>
        <v>419.75</v>
      </c>
      <c r="P768" s="485" t="str">
        <f ca="1">IF(Tableau3453[[#This Row],[Date 
du paiement]]="",IF(Tableau3453[[#This Row],[Jours]]&gt;60,Tableau3453[[#This Row],[Montant
de la facture
CHF]],""),"")</f>
        <v/>
      </c>
      <c r="Q768" s="491"/>
      <c r="R768" s="492">
        <f>Tableau3453[[#This Row],[Solde 
ouverte
fm]]</f>
        <v>419.75</v>
      </c>
      <c r="S768" s="485">
        <f ca="1">IF(Tableau3453[[#This Row],[Date 
du paiement]]="",IF(Tableau3453[[#This Row],[Jours]]-Tableau3453[[#This Row],[Conditions
pmt+]]&gt;0,Tableau3453[[#This Row],[Montant
de la facture
CHF]],"0.00"),"0.00")</f>
        <v>419.75</v>
      </c>
    </row>
    <row r="769" spans="1:19" outlineLevel="1" x14ac:dyDescent="0.25">
      <c r="A769" s="481">
        <v>240817</v>
      </c>
      <c r="B769" s="482">
        <v>30</v>
      </c>
      <c r="C769" s="497" t="str">
        <f ca="1">IF(Tableau3453[[#This Row],[Date 
du paiement]]="",IF(Tableau3453[[#This Row],[Jours]]&gt;Tableau3453[[#This Row],[Conditions
pmt+]]+5,"oui",""),"")</f>
        <v>oui</v>
      </c>
      <c r="D769" s="483" t="s">
        <v>1184</v>
      </c>
      <c r="E769" s="511">
        <v>45573</v>
      </c>
      <c r="F769" s="485">
        <v>704.55</v>
      </c>
      <c r="G769" s="503">
        <f>IF(Tableau3453[[#This Row],[Date 
du paiement]]="",Tableau3453[[#This Row],[Montant
de la facture
CHF]],"")</f>
        <v>704.55</v>
      </c>
      <c r="H769" s="486"/>
      <c r="I769" s="493">
        <v>45573</v>
      </c>
      <c r="J769" s="487"/>
      <c r="K769" s="488"/>
      <c r="L769" s="489">
        <v>2</v>
      </c>
      <c r="M769" s="490">
        <f ca="1">IF(Tableau3453[[#This Row],[Date 
du paiement]]="",$D$4-Tableau3453[[#This Row],[Date
de la facture]],Tableau3453[[#This Row],[Date 
du paiement]]-Tableau3453[[#This Row],[Date
de la facture]])</f>
        <v>44.46942534721893</v>
      </c>
      <c r="N769" s="485" t="str">
        <f ca="1">IF(Tableau3453[[#This Row],[Date 
du paiement]]="",IF(Tableau3453[[#This Row],[Jours]]&lt;30,Tableau3453[[#This Row],[Montant
de la facture
CHF]],""),"")</f>
        <v/>
      </c>
      <c r="O769" s="485">
        <f ca="1">IF(Tableau3453[[#This Row],[Date 
du paiement]]="",IF(Tableau3453[[#This Row],[Jours]]&gt;30,IF(Tableau3453[[#This Row],[Jours]]&lt;60,Tableau3453[[#This Row],[Montant
de la facture
CHF]],""),""),"")</f>
        <v>704.55</v>
      </c>
      <c r="P769" s="485" t="str">
        <f ca="1">IF(Tableau3453[[#This Row],[Date 
du paiement]]="",IF(Tableau3453[[#This Row],[Jours]]&gt;60,Tableau3453[[#This Row],[Montant
de la facture
CHF]],""),"")</f>
        <v/>
      </c>
      <c r="Q769" s="491"/>
      <c r="R769" s="492">
        <f>Tableau3453[[#This Row],[Solde 
ouverte
fm]]</f>
        <v>704.55</v>
      </c>
      <c r="S769" s="485">
        <f ca="1">IF(Tableau3453[[#This Row],[Date 
du paiement]]="",IF(Tableau3453[[#This Row],[Jours]]-Tableau3453[[#This Row],[Conditions
pmt+]]&gt;0,Tableau3453[[#This Row],[Montant
de la facture
CHF]],"0.00"),"0.00")</f>
        <v>704.55</v>
      </c>
    </row>
    <row r="770" spans="1:19" outlineLevel="1" x14ac:dyDescent="0.25">
      <c r="A770" s="481">
        <v>240976</v>
      </c>
      <c r="B770" s="482">
        <v>30</v>
      </c>
      <c r="C770" s="507" t="str">
        <f ca="1">IF(Tableau3453[[#This Row],[Date 
du paiement]]="",IF(Tableau3453[[#This Row],[Jours]]&gt;Tableau3453[[#This Row],[Conditions
pmt+]]+5,"oui",""),"")</f>
        <v>oui</v>
      </c>
      <c r="D770" s="483" t="s">
        <v>1184</v>
      </c>
      <c r="E770" s="484">
        <v>45575</v>
      </c>
      <c r="F770" s="485">
        <v>1618.6</v>
      </c>
      <c r="G770" s="503">
        <f>IF(Tableau3453[[#This Row],[Date 
du paiement]]="",Tableau3453[[#This Row],[Montant
de la facture
CHF]],"")</f>
        <v>1618.6</v>
      </c>
      <c r="H770" s="486"/>
      <c r="I770" s="493">
        <v>45579</v>
      </c>
      <c r="J770" s="487"/>
      <c r="K770" s="488"/>
      <c r="L770" s="489">
        <v>1</v>
      </c>
      <c r="M770" s="490">
        <f ca="1">IF(Tableau3453[[#This Row],[Date 
du paiement]]="",$D$4-Tableau3453[[#This Row],[Date
de la facture]],Tableau3453[[#This Row],[Date 
du paiement]]-Tableau3453[[#This Row],[Date
de la facture]])</f>
        <v>42.46942534721893</v>
      </c>
      <c r="N770" s="485" t="str">
        <f ca="1">IF(Tableau3453[[#This Row],[Date 
du paiement]]="",IF(Tableau3453[[#This Row],[Jours]]&lt;30,Tableau3453[[#This Row],[Montant
de la facture
CHF]],""),"")</f>
        <v/>
      </c>
      <c r="O770" s="485">
        <f ca="1">IF(Tableau3453[[#This Row],[Date 
du paiement]]="",IF(Tableau3453[[#This Row],[Jours]]&gt;30,IF(Tableau3453[[#This Row],[Jours]]&lt;60,Tableau3453[[#This Row],[Montant
de la facture
CHF]],""),""),"")</f>
        <v>1618.6</v>
      </c>
      <c r="P770" s="485" t="str">
        <f ca="1">IF(Tableau3453[[#This Row],[Date 
du paiement]]="",IF(Tableau3453[[#This Row],[Jours]]&gt;60,Tableau3453[[#This Row],[Montant
de la facture
CHF]],""),"")</f>
        <v/>
      </c>
      <c r="Q770" s="491"/>
      <c r="R770" s="492">
        <f>Tableau3453[[#This Row],[Solde 
ouverte
fm]]</f>
        <v>1618.6</v>
      </c>
      <c r="S770" s="485">
        <f ca="1">IF(Tableau3453[[#This Row],[Date 
du paiement]]="",IF(Tableau3453[[#This Row],[Jours]]-Tableau3453[[#This Row],[Conditions
pmt+]]&gt;0,Tableau3453[[#This Row],[Montant
de la facture
CHF]],"0.00"),"0.00")</f>
        <v>1618.6</v>
      </c>
    </row>
    <row r="771" spans="1:19" outlineLevel="1" x14ac:dyDescent="0.25">
      <c r="A771" s="473">
        <v>240989</v>
      </c>
      <c r="B771" s="454">
        <v>30</v>
      </c>
      <c r="C771" s="505" t="str">
        <f ca="1">IF(Tableau3453[[#This Row],[Date 
du paiement]]="",IF(Tableau3453[[#This Row],[Jours]]&gt;Tableau3453[[#This Row],[Conditions
pmt+]]+5,"oui",""),"")</f>
        <v>oui</v>
      </c>
      <c r="D771" s="467" t="s">
        <v>1184</v>
      </c>
      <c r="E771" s="455">
        <v>45582</v>
      </c>
      <c r="F771" s="468">
        <v>341.8</v>
      </c>
      <c r="G771" s="501">
        <f>IF(Tableau3453[[#This Row],[Date 
du paiement]]="",Tableau3453[[#This Row],[Montant
de la facture
CHF]],"")</f>
        <v>341.8</v>
      </c>
      <c r="H771" s="458"/>
      <c r="I771" s="493">
        <v>45583</v>
      </c>
      <c r="J771" s="460"/>
      <c r="K771" s="461"/>
      <c r="L771" s="469"/>
      <c r="M771" s="470">
        <f ca="1">IF(Tableau3453[[#This Row],[Date 
du paiement]]="",$D$4-Tableau3453[[#This Row],[Date
de la facture]],Tableau3453[[#This Row],[Date 
du paiement]]-Tableau3453[[#This Row],[Date
de la facture]])</f>
        <v>35.46942534721893</v>
      </c>
      <c r="N771" s="468" t="str">
        <f ca="1">IF(Tableau3453[[#This Row],[Date 
du paiement]]="",IF(Tableau3453[[#This Row],[Jours]]&lt;30,Tableau3453[[#This Row],[Montant
de la facture
CHF]],""),"")</f>
        <v/>
      </c>
      <c r="O771" s="468">
        <f ca="1">IF(Tableau3453[[#This Row],[Date 
du paiement]]="",IF(Tableau3453[[#This Row],[Jours]]&gt;30,IF(Tableau3453[[#This Row],[Jours]]&lt;60,Tableau3453[[#This Row],[Montant
de la facture
CHF]],""),""),"")</f>
        <v>341.8</v>
      </c>
      <c r="P771" s="468" t="str">
        <f ca="1">IF(Tableau3453[[#This Row],[Date 
du paiement]]="",IF(Tableau3453[[#This Row],[Jours]]&gt;60,Tableau3453[[#This Row],[Montant
de la facture
CHF]],""),"")</f>
        <v/>
      </c>
      <c r="Q771" s="471"/>
      <c r="R771" s="472">
        <f>Tableau3453[[#This Row],[Solde 
ouverte
fm]]</f>
        <v>341.8</v>
      </c>
      <c r="S771" s="468">
        <f ca="1">IF(Tableau3453[[#This Row],[Date 
du paiement]]="",IF(Tableau3453[[#This Row],[Jours]]-Tableau3453[[#This Row],[Conditions
pmt+]]&gt;0,Tableau3453[[#This Row],[Montant
de la facture
CHF]],"0.00"),"0.00")</f>
        <v>341.8</v>
      </c>
    </row>
    <row r="772" spans="1:19" outlineLevel="1" x14ac:dyDescent="0.25">
      <c r="A772" s="473">
        <v>241001</v>
      </c>
      <c r="B772" s="454">
        <v>30</v>
      </c>
      <c r="C772" s="505" t="str">
        <f ca="1">IF(Tableau3453[[#This Row],[Date 
du paiement]]="",IF(Tableau3453[[#This Row],[Jours]]&gt;Tableau3453[[#This Row],[Conditions
pmt+]]+5,"oui",""),"")</f>
        <v>oui</v>
      </c>
      <c r="D772" s="467" t="s">
        <v>1184</v>
      </c>
      <c r="E772" s="455">
        <v>45582</v>
      </c>
      <c r="F772" s="468">
        <v>293.7</v>
      </c>
      <c r="G772" s="501">
        <f>IF(Tableau3453[[#This Row],[Date 
du paiement]]="",Tableau3453[[#This Row],[Montant
de la facture
CHF]],"")</f>
        <v>293.7</v>
      </c>
      <c r="H772" s="458" t="s">
        <v>1727</v>
      </c>
      <c r="I772" s="493">
        <v>45583</v>
      </c>
      <c r="J772" s="460"/>
      <c r="K772" s="461"/>
      <c r="L772" s="469"/>
      <c r="M772" s="470">
        <f ca="1">IF(Tableau3453[[#This Row],[Date 
du paiement]]="",$D$4-Tableau3453[[#This Row],[Date
de la facture]],Tableau3453[[#This Row],[Date 
du paiement]]-Tableau3453[[#This Row],[Date
de la facture]])</f>
        <v>35.46942534721893</v>
      </c>
      <c r="N772" s="468" t="str">
        <f ca="1">IF(Tableau3453[[#This Row],[Date 
du paiement]]="",IF(Tableau3453[[#This Row],[Jours]]&lt;30,Tableau3453[[#This Row],[Montant
de la facture
CHF]],""),"")</f>
        <v/>
      </c>
      <c r="O772" s="468">
        <f ca="1">IF(Tableau3453[[#This Row],[Date 
du paiement]]="",IF(Tableau3453[[#This Row],[Jours]]&gt;30,IF(Tableau3453[[#This Row],[Jours]]&lt;60,Tableau3453[[#This Row],[Montant
de la facture
CHF]],""),""),"")</f>
        <v>293.7</v>
      </c>
      <c r="P772" s="468" t="str">
        <f ca="1">IF(Tableau3453[[#This Row],[Date 
du paiement]]="",IF(Tableau3453[[#This Row],[Jours]]&gt;60,Tableau3453[[#This Row],[Montant
de la facture
CHF]],""),"")</f>
        <v/>
      </c>
      <c r="Q772" s="471"/>
      <c r="R772" s="472">
        <f>Tableau3453[[#This Row],[Solde 
ouverte
fm]]</f>
        <v>293.7</v>
      </c>
      <c r="S772" s="468">
        <f ca="1">IF(Tableau3453[[#This Row],[Date 
du paiement]]="",IF(Tableau3453[[#This Row],[Jours]]-Tableau3453[[#This Row],[Conditions
pmt+]]&gt;0,Tableau3453[[#This Row],[Montant
de la facture
CHF]],"0.00"),"0.00")</f>
        <v>293.7</v>
      </c>
    </row>
    <row r="773" spans="1:19" outlineLevel="1" x14ac:dyDescent="0.25">
      <c r="A773" s="473">
        <v>241003</v>
      </c>
      <c r="B773" s="454">
        <v>30</v>
      </c>
      <c r="C773" s="505" t="str">
        <f ca="1">IF(Tableau3453[[#This Row],[Date 
du paiement]]="",IF(Tableau3453[[#This Row],[Jours]]&gt;Tableau3453[[#This Row],[Conditions
pmt+]]+5,"oui",""),"")</f>
        <v/>
      </c>
      <c r="D773" s="467" t="s">
        <v>1184</v>
      </c>
      <c r="E773" s="455">
        <v>45583</v>
      </c>
      <c r="F773" s="468">
        <v>1802.3</v>
      </c>
      <c r="G773" s="501">
        <f>IF(Tableau3453[[#This Row],[Date 
du paiement]]="",Tableau3453[[#This Row],[Montant
de la facture
CHF]],"")</f>
        <v>1802.3</v>
      </c>
      <c r="H773" s="458"/>
      <c r="I773" s="493">
        <v>45583</v>
      </c>
      <c r="J773" s="460"/>
      <c r="K773" s="461"/>
      <c r="L773" s="469"/>
      <c r="M773" s="470">
        <f ca="1">IF(Tableau3453[[#This Row],[Date 
du paiement]]="",$D$4-Tableau3453[[#This Row],[Date
de la facture]],Tableau3453[[#This Row],[Date 
du paiement]]-Tableau3453[[#This Row],[Date
de la facture]])</f>
        <v>34.46942534721893</v>
      </c>
      <c r="N773" s="468" t="str">
        <f ca="1">IF(Tableau3453[[#This Row],[Date 
du paiement]]="",IF(Tableau3453[[#This Row],[Jours]]&lt;30,Tableau3453[[#This Row],[Montant
de la facture
CHF]],""),"")</f>
        <v/>
      </c>
      <c r="O773" s="468">
        <f ca="1">IF(Tableau3453[[#This Row],[Date 
du paiement]]="",IF(Tableau3453[[#This Row],[Jours]]&gt;30,IF(Tableau3453[[#This Row],[Jours]]&lt;60,Tableau3453[[#This Row],[Montant
de la facture
CHF]],""),""),"")</f>
        <v>1802.3</v>
      </c>
      <c r="P773" s="468" t="str">
        <f ca="1">IF(Tableau3453[[#This Row],[Date 
du paiement]]="",IF(Tableau3453[[#This Row],[Jours]]&gt;60,Tableau3453[[#This Row],[Montant
de la facture
CHF]],""),"")</f>
        <v/>
      </c>
      <c r="Q773" s="471"/>
      <c r="R773" s="472">
        <f>Tableau3453[[#This Row],[Solde 
ouverte
fm]]</f>
        <v>1802.3</v>
      </c>
      <c r="S773" s="468">
        <f ca="1">IF(Tableau3453[[#This Row],[Date 
du paiement]]="",IF(Tableau3453[[#This Row],[Jours]]-Tableau3453[[#This Row],[Conditions
pmt+]]&gt;0,Tableau3453[[#This Row],[Montant
de la facture
CHF]],"0.00"),"0.00")</f>
        <v>1802.3</v>
      </c>
    </row>
    <row r="774" spans="1:19" outlineLevel="1" x14ac:dyDescent="0.25">
      <c r="A774" s="473">
        <v>241004</v>
      </c>
      <c r="B774" s="454">
        <v>30</v>
      </c>
      <c r="C774" s="495" t="str">
        <f ca="1">IF(Tableau3453[[#This Row],[Date 
du paiement]]="",IF(Tableau3453[[#This Row],[Jours]]&gt;Tableau3453[[#This Row],[Conditions
pmt+]]+5,"oui",""),"")</f>
        <v/>
      </c>
      <c r="D774" s="467" t="s">
        <v>1184</v>
      </c>
      <c r="E774" s="455">
        <v>45586</v>
      </c>
      <c r="F774" s="468">
        <v>5515.9</v>
      </c>
      <c r="G774" s="501">
        <f>IF(Tableau3453[[#This Row],[Date 
du paiement]]="",Tableau3453[[#This Row],[Montant
de la facture
CHF]],"")</f>
        <v>5515.9</v>
      </c>
      <c r="H774" s="458"/>
      <c r="I774" s="493">
        <v>45587</v>
      </c>
      <c r="J774" s="460"/>
      <c r="K774" s="461"/>
      <c r="L774" s="469"/>
      <c r="M774" s="470">
        <f ca="1">IF(Tableau3453[[#This Row],[Date 
du paiement]]="",$D$4-Tableau3453[[#This Row],[Date
de la facture]],Tableau3453[[#This Row],[Date 
du paiement]]-Tableau3453[[#This Row],[Date
de la facture]])</f>
        <v>31.46942534721893</v>
      </c>
      <c r="N774" s="468" t="str">
        <f ca="1">IF(Tableau3453[[#This Row],[Date 
du paiement]]="",IF(Tableau3453[[#This Row],[Jours]]&lt;30,Tableau3453[[#This Row],[Montant
de la facture
CHF]],""),"")</f>
        <v/>
      </c>
      <c r="O774" s="468">
        <f ca="1">IF(Tableau3453[[#This Row],[Date 
du paiement]]="",IF(Tableau3453[[#This Row],[Jours]]&gt;30,IF(Tableau3453[[#This Row],[Jours]]&lt;60,Tableau3453[[#This Row],[Montant
de la facture
CHF]],""),""),"")</f>
        <v>5515.9</v>
      </c>
      <c r="P774" s="468" t="str">
        <f ca="1">IF(Tableau3453[[#This Row],[Date 
du paiement]]="",IF(Tableau3453[[#This Row],[Jours]]&gt;60,Tableau3453[[#This Row],[Montant
de la facture
CHF]],""),"")</f>
        <v/>
      </c>
      <c r="Q774" s="471"/>
      <c r="R774" s="472">
        <f>Tableau3453[[#This Row],[Solde 
ouverte
fm]]</f>
        <v>5515.9</v>
      </c>
      <c r="S774" s="468">
        <f ca="1">IF(Tableau3453[[#This Row],[Date 
du paiement]]="",IF(Tableau3453[[#This Row],[Jours]]-Tableau3453[[#This Row],[Conditions
pmt+]]&gt;0,Tableau3453[[#This Row],[Montant
de la facture
CHF]],"0.00"),"0.00")</f>
        <v>5515.9</v>
      </c>
    </row>
    <row r="775" spans="1:19" hidden="1" outlineLevel="1" x14ac:dyDescent="0.25">
      <c r="A775" s="473" t="s">
        <v>1828</v>
      </c>
      <c r="B775" s="454">
        <v>30</v>
      </c>
      <c r="C775" s="495" t="str">
        <f>IF(Tableau3453[[#This Row],[Date 
du paiement]]="",IF(Tableau3453[[#This Row],[Jours]]&gt;Tableau3453[[#This Row],[Conditions
pmt+]]+5,"oui",""),"")</f>
        <v/>
      </c>
      <c r="D775" s="467" t="s">
        <v>1044</v>
      </c>
      <c r="E775" s="455">
        <v>45579</v>
      </c>
      <c r="F775" s="468">
        <f>398.15-331.8</f>
        <v>66.349999999999966</v>
      </c>
      <c r="G775" s="457" t="str">
        <f>IF(Tableau3453[[#This Row],[Date 
du paiement]]="",Tableau3453[[#This Row],[Montant
de la facture
CHF]],"")</f>
        <v/>
      </c>
      <c r="H775" s="458"/>
      <c r="I775" s="493">
        <v>45580</v>
      </c>
      <c r="J775" s="460">
        <v>45573</v>
      </c>
      <c r="K775" s="461" t="s">
        <v>58</v>
      </c>
      <c r="L775" s="469"/>
      <c r="M775" s="470">
        <f>IF(Tableau3453[[#This Row],[Date 
du paiement]]="",$D$4-Tableau3453[[#This Row],[Date
de la facture]],Tableau3453[[#This Row],[Date 
du paiement]]-Tableau3453[[#This Row],[Date
de la facture]])</f>
        <v>-6</v>
      </c>
      <c r="N775" s="468" t="str">
        <f>IF(Tableau3453[[#This Row],[Date 
du paiement]]="",IF(Tableau3453[[#This Row],[Jours]]&lt;30,Tableau3453[[#This Row],[Montant
de la facture
CHF]],""),"")</f>
        <v/>
      </c>
      <c r="O775" s="468" t="str">
        <f>IF(Tableau3453[[#This Row],[Date 
du paiement]]="",IF(Tableau3453[[#This Row],[Jours]]&gt;30,IF(Tableau3453[[#This Row],[Jours]]&lt;60,Tableau3453[[#This Row],[Montant
de la facture
CHF]],""),""),"")</f>
        <v/>
      </c>
      <c r="P775" s="468" t="str">
        <f>IF(Tableau3453[[#This Row],[Date 
du paiement]]="",IF(Tableau3453[[#This Row],[Jours]]&gt;60,Tableau3453[[#This Row],[Montant
de la facture
CHF]],""),"")</f>
        <v/>
      </c>
      <c r="Q775" s="471"/>
      <c r="R775" s="472" t="str">
        <f>Tableau3453[[#This Row],[Solde 
ouverte
fm]]</f>
        <v/>
      </c>
      <c r="S775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76" spans="1:19" hidden="1" outlineLevel="1" x14ac:dyDescent="0.25">
      <c r="A776" s="473">
        <v>240954</v>
      </c>
      <c r="B776" s="454" t="s">
        <v>860</v>
      </c>
      <c r="C776" s="505" t="str">
        <f>IF(Tableau3453[[#This Row],[Date 
du paiement]]="",IF(Tableau3453[[#This Row],[Jours]]&gt;Tableau3453[[#This Row],[Conditions
pmt+]]+5,"oui",""),"")</f>
        <v/>
      </c>
      <c r="D776" s="467" t="s">
        <v>1044</v>
      </c>
      <c r="E776" s="455">
        <v>45611</v>
      </c>
      <c r="F776" s="468">
        <v>525.4</v>
      </c>
      <c r="G776" s="501" t="str">
        <f>IF(Tableau3453[[#This Row],[Date 
du paiement]]="",Tableau3453[[#This Row],[Montant
de la facture
CHF]],"")</f>
        <v/>
      </c>
      <c r="H776" s="458"/>
      <c r="I776" s="459">
        <v>45611</v>
      </c>
      <c r="J776" s="460">
        <v>45573</v>
      </c>
      <c r="K776" s="461" t="s">
        <v>58</v>
      </c>
      <c r="L776" s="469"/>
      <c r="M776" s="470">
        <f>IF(Tableau3453[[#This Row],[Date 
du paiement]]="",$D$4-Tableau3453[[#This Row],[Date
de la facture]],Tableau3453[[#This Row],[Date 
du paiement]]-Tableau3453[[#This Row],[Date
de la facture]])</f>
        <v>-38</v>
      </c>
      <c r="N776" s="468" t="str">
        <f>IF(Tableau3453[[#This Row],[Date 
du paiement]]="",IF(Tableau3453[[#This Row],[Jours]]&lt;30,Tableau3453[[#This Row],[Montant
de la facture
CHF]],""),"")</f>
        <v/>
      </c>
      <c r="O776" s="468" t="str">
        <f>IF(Tableau3453[[#This Row],[Date 
du paiement]]="",IF(Tableau3453[[#This Row],[Jours]]&gt;30,IF(Tableau3453[[#This Row],[Jours]]&lt;60,Tableau3453[[#This Row],[Montant
de la facture
CHF]],""),""),"")</f>
        <v/>
      </c>
      <c r="P776" s="468" t="str">
        <f>IF(Tableau3453[[#This Row],[Date 
du paiement]]="",IF(Tableau3453[[#This Row],[Jours]]&gt;60,Tableau3453[[#This Row],[Montant
de la facture
CHF]],""),"")</f>
        <v/>
      </c>
      <c r="Q776" s="471"/>
      <c r="R776" s="472" t="str">
        <f>Tableau3453[[#This Row],[Solde 
ouverte
fm]]</f>
        <v/>
      </c>
      <c r="S776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77" spans="1:19" outlineLevel="1" x14ac:dyDescent="0.25">
      <c r="A777" s="473">
        <v>241029</v>
      </c>
      <c r="B777" s="454">
        <v>30</v>
      </c>
      <c r="C777" s="505" t="str">
        <f ca="1">IF(Tableau3453[[#This Row],[Date 
du paiement]]="",IF(Tableau3453[[#This Row],[Jours]]&gt;Tableau3453[[#This Row],[Conditions
pmt+]]+5,"oui",""),"")</f>
        <v/>
      </c>
      <c r="D777" s="467" t="s">
        <v>1184</v>
      </c>
      <c r="E777" s="455">
        <v>45594</v>
      </c>
      <c r="F777" s="468">
        <v>544.6</v>
      </c>
      <c r="G777" s="501">
        <f>IF(Tableau3453[[#This Row],[Date 
du paiement]]="",Tableau3453[[#This Row],[Montant
de la facture
CHF]],"")</f>
        <v>544.6</v>
      </c>
      <c r="H777" s="458"/>
      <c r="I777" s="459">
        <v>45597</v>
      </c>
      <c r="J777" s="460"/>
      <c r="K777" s="461"/>
      <c r="L777" s="469"/>
      <c r="M777" s="470">
        <f ca="1">IF(Tableau3453[[#This Row],[Date 
du paiement]]="",$D$4-Tableau3453[[#This Row],[Date
de la facture]],Tableau3453[[#This Row],[Date 
du paiement]]-Tableau3453[[#This Row],[Date
de la facture]])</f>
        <v>23.46942534721893</v>
      </c>
      <c r="N777" s="468">
        <f ca="1">IF(Tableau3453[[#This Row],[Date 
du paiement]]="",IF(Tableau3453[[#This Row],[Jours]]&lt;30,Tableau3453[[#This Row],[Montant
de la facture
CHF]],""),"")</f>
        <v>544.6</v>
      </c>
      <c r="O777" s="468" t="str">
        <f ca="1">IF(Tableau3453[[#This Row],[Date 
du paiement]]="",IF(Tableau3453[[#This Row],[Jours]]&gt;30,IF(Tableau3453[[#This Row],[Jours]]&lt;60,Tableau3453[[#This Row],[Montant
de la facture
CHF]],""),""),"")</f>
        <v/>
      </c>
      <c r="P777" s="468" t="str">
        <f ca="1">IF(Tableau3453[[#This Row],[Date 
du paiement]]="",IF(Tableau3453[[#This Row],[Jours]]&gt;60,Tableau3453[[#This Row],[Montant
de la facture
CHF]],""),"")</f>
        <v/>
      </c>
      <c r="Q777" s="471"/>
      <c r="R777" s="472">
        <f>Tableau3453[[#This Row],[Solde 
ouverte
fm]]</f>
        <v>544.6</v>
      </c>
      <c r="S777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78" spans="1:19" outlineLevel="1" x14ac:dyDescent="0.25">
      <c r="A778" s="481">
        <v>240998</v>
      </c>
      <c r="B778" s="482">
        <v>30</v>
      </c>
      <c r="C778" s="507" t="str">
        <f ca="1">IF(Tableau3453[[#This Row],[Date 
du paiement]]="",IF(Tableau3453[[#This Row],[Jours]]&gt;Tableau3453[[#This Row],[Conditions
pmt+]]+5,"oui",""),"")</f>
        <v>oui</v>
      </c>
      <c r="D778" s="483" t="s">
        <v>1467</v>
      </c>
      <c r="E778" s="484">
        <v>45582</v>
      </c>
      <c r="F778" s="485">
        <v>108.1</v>
      </c>
      <c r="G778" s="503">
        <f>IF(Tableau3453[[#This Row],[Date 
du paiement]]="",Tableau3453[[#This Row],[Montant
de la facture
CHF]],"")</f>
        <v>108.1</v>
      </c>
      <c r="H778" s="486"/>
      <c r="I778" s="493">
        <v>45583</v>
      </c>
      <c r="J778" s="487"/>
      <c r="K778" s="488"/>
      <c r="L778" s="489">
        <v>1</v>
      </c>
      <c r="M778" s="490">
        <f ca="1">IF(Tableau3453[[#This Row],[Date 
du paiement]]="",$D$4-Tableau3453[[#This Row],[Date
de la facture]],Tableau3453[[#This Row],[Date 
du paiement]]-Tableau3453[[#This Row],[Date
de la facture]])</f>
        <v>35.46942534721893</v>
      </c>
      <c r="N778" s="485" t="str">
        <f ca="1">IF(Tableau3453[[#This Row],[Date 
du paiement]]="",IF(Tableau3453[[#This Row],[Jours]]&lt;30,Tableau3453[[#This Row],[Montant
de la facture
CHF]],""),"")</f>
        <v/>
      </c>
      <c r="O778" s="485">
        <f ca="1">IF(Tableau3453[[#This Row],[Date 
du paiement]]="",IF(Tableau3453[[#This Row],[Jours]]&gt;30,IF(Tableau3453[[#This Row],[Jours]]&lt;60,Tableau3453[[#This Row],[Montant
de la facture
CHF]],""),""),"")</f>
        <v>108.1</v>
      </c>
      <c r="P778" s="485" t="str">
        <f ca="1">IF(Tableau3453[[#This Row],[Date 
du paiement]]="",IF(Tableau3453[[#This Row],[Jours]]&gt;60,Tableau3453[[#This Row],[Montant
de la facture
CHF]],""),"")</f>
        <v/>
      </c>
      <c r="Q778" s="491"/>
      <c r="R778" s="492">
        <f>Tableau3453[[#This Row],[Solde 
ouverte
fm]]</f>
        <v>108.1</v>
      </c>
      <c r="S778" s="485">
        <f ca="1">IF(Tableau3453[[#This Row],[Date 
du paiement]]="",IF(Tableau3453[[#This Row],[Jours]]-Tableau3453[[#This Row],[Conditions
pmt+]]&gt;0,Tableau3453[[#This Row],[Montant
de la facture
CHF]],"0.00"),"0.00")</f>
        <v>108.1</v>
      </c>
    </row>
    <row r="779" spans="1:19" outlineLevel="1" x14ac:dyDescent="0.25">
      <c r="A779" s="481">
        <v>241017</v>
      </c>
      <c r="B779" s="482">
        <v>30</v>
      </c>
      <c r="C779" s="507" t="str">
        <f ca="1">IF(Tableau3453[[#This Row],[Date 
du paiement]]="",IF(Tableau3453[[#This Row],[Jours]]&gt;Tableau3453[[#This Row],[Conditions
pmt+]]+5,"oui",""),"")</f>
        <v/>
      </c>
      <c r="D779" s="483" t="s">
        <v>1729</v>
      </c>
      <c r="E779" s="484">
        <v>45595</v>
      </c>
      <c r="F779" s="485">
        <v>850.55</v>
      </c>
      <c r="G779" s="503">
        <f>IF(Tableau3453[[#This Row],[Date 
du paiement]]="",Tableau3453[[#This Row],[Montant
de la facture
CHF]],"")</f>
        <v>850.55</v>
      </c>
      <c r="H779" s="486"/>
      <c r="I779" s="493">
        <v>45597</v>
      </c>
      <c r="J779" s="487"/>
      <c r="K779" s="488"/>
      <c r="L779" s="489"/>
      <c r="M779" s="490">
        <f ca="1">IF(Tableau3453[[#This Row],[Date 
du paiement]]="",$D$4-Tableau3453[[#This Row],[Date
de la facture]],Tableau3453[[#This Row],[Date 
du paiement]]-Tableau3453[[#This Row],[Date
de la facture]])</f>
        <v>22.46942534721893</v>
      </c>
      <c r="N779" s="485">
        <f ca="1">IF(Tableau3453[[#This Row],[Date 
du paiement]]="",IF(Tableau3453[[#This Row],[Jours]]&lt;30,Tableau3453[[#This Row],[Montant
de la facture
CHF]],""),"")</f>
        <v>850.55</v>
      </c>
      <c r="O779" s="485" t="str">
        <f ca="1">IF(Tableau3453[[#This Row],[Date 
du paiement]]="",IF(Tableau3453[[#This Row],[Jours]]&gt;30,IF(Tableau3453[[#This Row],[Jours]]&lt;60,Tableau3453[[#This Row],[Montant
de la facture
CHF]],""),""),"")</f>
        <v/>
      </c>
      <c r="P779" s="485" t="str">
        <f ca="1">IF(Tableau3453[[#This Row],[Date 
du paiement]]="",IF(Tableau3453[[#This Row],[Jours]]&gt;60,Tableau3453[[#This Row],[Montant
de la facture
CHF]],""),"")</f>
        <v/>
      </c>
      <c r="Q779" s="491"/>
      <c r="R779" s="492">
        <f>Tableau3453[[#This Row],[Solde 
ouverte
fm]]</f>
        <v>850.55</v>
      </c>
      <c r="S779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80" spans="1:19" hidden="1" outlineLevel="1" x14ac:dyDescent="0.25">
      <c r="A780" s="481">
        <v>240962</v>
      </c>
      <c r="B780" s="482" t="s">
        <v>870</v>
      </c>
      <c r="C780" s="497" t="str">
        <f>IF(Tableau3453[[#This Row],[Date 
du paiement]]="",IF(Tableau3453[[#This Row],[Jours]]&gt;Tableau3453[[#This Row],[Conditions
pmt+]]+5,"oui",""),"")</f>
        <v/>
      </c>
      <c r="D780" s="483" t="s">
        <v>885</v>
      </c>
      <c r="E780" s="484">
        <v>45610</v>
      </c>
      <c r="F780" s="485">
        <v>14857.5</v>
      </c>
      <c r="G780" s="503" t="str">
        <f>IF(Tableau3453[[#This Row],[Date 
du paiement]]="",Tableau3453[[#This Row],[Montant
de la facture
CHF]],"")</f>
        <v/>
      </c>
      <c r="H780" s="486"/>
      <c r="I780" s="493">
        <v>45616</v>
      </c>
      <c r="J780" s="487">
        <v>45590</v>
      </c>
      <c r="K780" s="488" t="s">
        <v>58</v>
      </c>
      <c r="L780" s="489"/>
      <c r="M780" s="490">
        <f>IF(Tableau3453[[#This Row],[Date 
du paiement]]="",$D$4-Tableau3453[[#This Row],[Date
de la facture]],Tableau3453[[#This Row],[Date 
du paiement]]-Tableau3453[[#This Row],[Date
de la facture]])</f>
        <v>-20</v>
      </c>
      <c r="N780" s="485" t="str">
        <f>IF(Tableau3453[[#This Row],[Date 
du paiement]]="",IF(Tableau3453[[#This Row],[Jours]]&lt;30,Tableau3453[[#This Row],[Montant
de la facture
CHF]],""),"")</f>
        <v/>
      </c>
      <c r="O780" s="485" t="str">
        <f>IF(Tableau3453[[#This Row],[Date 
du paiement]]="",IF(Tableau3453[[#This Row],[Jours]]&gt;30,IF(Tableau3453[[#This Row],[Jours]]&lt;60,Tableau3453[[#This Row],[Montant
de la facture
CHF]],""),""),"")</f>
        <v/>
      </c>
      <c r="P780" s="485" t="str">
        <f>IF(Tableau3453[[#This Row],[Date 
du paiement]]="",IF(Tableau3453[[#This Row],[Jours]]&gt;60,Tableau3453[[#This Row],[Montant
de la facture
CHF]],""),"")</f>
        <v/>
      </c>
      <c r="Q780" s="491"/>
      <c r="R780" s="492" t="str">
        <f>Tableau3453[[#This Row],[Solde 
ouverte
fm]]</f>
        <v/>
      </c>
      <c r="S780" s="485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81" spans="1:19" outlineLevel="1" x14ac:dyDescent="0.25">
      <c r="A781" s="481">
        <v>240963</v>
      </c>
      <c r="B781" s="454">
        <v>60</v>
      </c>
      <c r="C781" s="507" t="str">
        <f ca="1">IF(Tableau3453[[#This Row],[Date 
du paiement]]="",IF(Tableau3453[[#This Row],[Jours]]&gt;Tableau3453[[#This Row],[Conditions
pmt+]]+5,"oui",""),"")</f>
        <v/>
      </c>
      <c r="D781" s="483" t="s">
        <v>925</v>
      </c>
      <c r="E781" s="484">
        <v>45575</v>
      </c>
      <c r="F781" s="485">
        <v>1328.95</v>
      </c>
      <c r="G781" s="503">
        <f>IF(Tableau3453[[#This Row],[Date 
du paiement]]="",Tableau3453[[#This Row],[Montant
de la facture
CHF]],"")</f>
        <v>1328.95</v>
      </c>
      <c r="H781" s="486"/>
      <c r="I781" s="493">
        <v>45579</v>
      </c>
      <c r="J781" s="487"/>
      <c r="K781" s="488"/>
      <c r="L781" s="489"/>
      <c r="M781" s="490">
        <f ca="1">IF(Tableau3453[[#This Row],[Date 
du paiement]]="",$D$4-Tableau3453[[#This Row],[Date
de la facture]],Tableau3453[[#This Row],[Date 
du paiement]]-Tableau3453[[#This Row],[Date
de la facture]])</f>
        <v>42.46942534721893</v>
      </c>
      <c r="N781" s="485" t="str">
        <f ca="1">IF(Tableau3453[[#This Row],[Date 
du paiement]]="",IF(Tableau3453[[#This Row],[Jours]]&lt;30,Tableau3453[[#This Row],[Montant
de la facture
CHF]],""),"")</f>
        <v/>
      </c>
      <c r="O781" s="485">
        <f ca="1">IF(Tableau3453[[#This Row],[Date 
du paiement]]="",IF(Tableau3453[[#This Row],[Jours]]&gt;30,IF(Tableau3453[[#This Row],[Jours]]&lt;60,Tableau3453[[#This Row],[Montant
de la facture
CHF]],""),""),"")</f>
        <v>1328.95</v>
      </c>
      <c r="P781" s="485" t="str">
        <f ca="1">IF(Tableau3453[[#This Row],[Date 
du paiement]]="",IF(Tableau3453[[#This Row],[Jours]]&gt;60,Tableau3453[[#This Row],[Montant
de la facture
CHF]],""),"")</f>
        <v/>
      </c>
      <c r="Q781" s="491"/>
      <c r="R781" s="492">
        <f>Tableau3453[[#This Row],[Solde 
ouverte
fm]]</f>
        <v>1328.95</v>
      </c>
      <c r="S781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82" spans="1:19" outlineLevel="1" x14ac:dyDescent="0.25">
      <c r="A782" s="473">
        <v>240973</v>
      </c>
      <c r="B782" s="454">
        <v>30</v>
      </c>
      <c r="C782" s="505" t="str">
        <f ca="1">IF(Tableau3453[[#This Row],[Date 
du paiement]]="",IF(Tableau3453[[#This Row],[Jours]]&gt;Tableau3453[[#This Row],[Conditions
pmt+]]+5,"oui",""),"")</f>
        <v>oui</v>
      </c>
      <c r="D782" s="467" t="s">
        <v>1637</v>
      </c>
      <c r="E782" s="455">
        <v>45579</v>
      </c>
      <c r="F782" s="468">
        <v>1865.8</v>
      </c>
      <c r="G782" s="501">
        <f>IF(Tableau3453[[#This Row],[Date 
du paiement]]="",Tableau3453[[#This Row],[Montant
de la facture
CHF]],"")</f>
        <v>1865.8</v>
      </c>
      <c r="H782" s="458"/>
      <c r="I782" s="493">
        <v>45580</v>
      </c>
      <c r="J782" s="460"/>
      <c r="K782" s="461"/>
      <c r="L782" s="469">
        <v>1</v>
      </c>
      <c r="M782" s="470">
        <f ca="1">IF(Tableau3453[[#This Row],[Date 
du paiement]]="",$D$4-Tableau3453[[#This Row],[Date
de la facture]],Tableau3453[[#This Row],[Date 
du paiement]]-Tableau3453[[#This Row],[Date
de la facture]])</f>
        <v>38.46942534721893</v>
      </c>
      <c r="N782" s="468" t="str">
        <f ca="1">IF(Tableau3453[[#This Row],[Date 
du paiement]]="",IF(Tableau3453[[#This Row],[Jours]]&lt;30,Tableau3453[[#This Row],[Montant
de la facture
CHF]],""),"")</f>
        <v/>
      </c>
      <c r="O782" s="468">
        <f ca="1">IF(Tableau3453[[#This Row],[Date 
du paiement]]="",IF(Tableau3453[[#This Row],[Jours]]&gt;30,IF(Tableau3453[[#This Row],[Jours]]&lt;60,Tableau3453[[#This Row],[Montant
de la facture
CHF]],""),""),"")</f>
        <v>1865.8</v>
      </c>
      <c r="P782" s="468" t="str">
        <f ca="1">IF(Tableau3453[[#This Row],[Date 
du paiement]]="",IF(Tableau3453[[#This Row],[Jours]]&gt;60,Tableau3453[[#This Row],[Montant
de la facture
CHF]],""),"")</f>
        <v/>
      </c>
      <c r="Q782" s="471"/>
      <c r="R782" s="472">
        <f>Tableau3453[[#This Row],[Solde 
ouverte
fm]]</f>
        <v>1865.8</v>
      </c>
      <c r="S782" s="468">
        <f ca="1">IF(Tableau3453[[#This Row],[Date 
du paiement]]="",IF(Tableau3453[[#This Row],[Jours]]-Tableau3453[[#This Row],[Conditions
pmt+]]&gt;0,Tableau3453[[#This Row],[Montant
de la facture
CHF]],"0.00"),"0.00")</f>
        <v>1865.8</v>
      </c>
    </row>
    <row r="783" spans="1:19" outlineLevel="1" x14ac:dyDescent="0.25">
      <c r="A783" s="473">
        <v>241066</v>
      </c>
      <c r="B783" s="454">
        <v>30</v>
      </c>
      <c r="C783" s="495" t="str">
        <f ca="1">IF(Tableau3453[[#This Row],[Date 
du paiement]]="",IF(Tableau3453[[#This Row],[Jours]]&gt;Tableau3453[[#This Row],[Conditions
pmt+]]+5,"oui",""),"")</f>
        <v/>
      </c>
      <c r="D783" s="467" t="s">
        <v>1802</v>
      </c>
      <c r="E783" s="455">
        <v>45609</v>
      </c>
      <c r="F783" s="468">
        <v>1365.3</v>
      </c>
      <c r="G783" s="501">
        <f>IF(Tableau3453[[#This Row],[Date 
du paiement]]="",Tableau3453[[#This Row],[Montant
de la facture
CHF]],"")</f>
        <v>1365.3</v>
      </c>
      <c r="H783" s="458"/>
      <c r="I783" s="493">
        <v>45610</v>
      </c>
      <c r="J783" s="460"/>
      <c r="K783" s="461"/>
      <c r="L783" s="469"/>
      <c r="M783" s="470">
        <f ca="1">IF(Tableau3453[[#This Row],[Date 
du paiement]]="",$D$4-Tableau3453[[#This Row],[Date
de la facture]],Tableau3453[[#This Row],[Date 
du paiement]]-Tableau3453[[#This Row],[Date
de la facture]])</f>
        <v>8.4694253472189303</v>
      </c>
      <c r="N783" s="468">
        <f ca="1">IF(Tableau3453[[#This Row],[Date 
du paiement]]="",IF(Tableau3453[[#This Row],[Jours]]&lt;30,Tableau3453[[#This Row],[Montant
de la facture
CHF]],""),"")</f>
        <v>1365.3</v>
      </c>
      <c r="O783" s="468" t="str">
        <f ca="1">IF(Tableau3453[[#This Row],[Date 
du paiement]]="",IF(Tableau3453[[#This Row],[Jours]]&gt;30,IF(Tableau3453[[#This Row],[Jours]]&lt;60,Tableau3453[[#This Row],[Montant
de la facture
CHF]],""),""),"")</f>
        <v/>
      </c>
      <c r="P783" s="468" t="str">
        <f ca="1">IF(Tableau3453[[#This Row],[Date 
du paiement]]="",IF(Tableau3453[[#This Row],[Jours]]&gt;60,Tableau3453[[#This Row],[Montant
de la facture
CHF]],""),"")</f>
        <v/>
      </c>
      <c r="Q783" s="471"/>
      <c r="R783" s="472">
        <f>Tableau3453[[#This Row],[Solde 
ouverte
fm]]</f>
        <v>1365.3</v>
      </c>
      <c r="S783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84" spans="1:19" outlineLevel="1" x14ac:dyDescent="0.25">
      <c r="A784" s="473">
        <v>240936</v>
      </c>
      <c r="B784" s="454">
        <v>30</v>
      </c>
      <c r="C784" s="495" t="str">
        <f ca="1">IF(Tableau3453[[#This Row],[Date 
du paiement]]="",IF(Tableau3453[[#This Row],[Jours]]&gt;Tableau3453[[#This Row],[Conditions
pmt+]]+5,"oui",""),"")</f>
        <v>oui</v>
      </c>
      <c r="D784" s="467" t="s">
        <v>858</v>
      </c>
      <c r="E784" s="455">
        <v>45569</v>
      </c>
      <c r="F784" s="468">
        <v>7187.5</v>
      </c>
      <c r="G784" s="457">
        <f>IF(Tableau3453[[#This Row],[Date 
du paiement]]="",Tableau3453[[#This Row],[Montant
de la facture
CHF]],"")</f>
        <v>7187.5</v>
      </c>
      <c r="H784" s="458"/>
      <c r="I784" s="493">
        <v>45573</v>
      </c>
      <c r="J784" s="460"/>
      <c r="K784" s="461"/>
      <c r="L784" s="469">
        <v>2</v>
      </c>
      <c r="M784" s="470">
        <f ca="1">IF(Tableau3453[[#This Row],[Date 
du paiement]]="",$D$4-Tableau3453[[#This Row],[Date
de la facture]],Tableau3453[[#This Row],[Date 
du paiement]]-Tableau3453[[#This Row],[Date
de la facture]])</f>
        <v>48.46942534721893</v>
      </c>
      <c r="N784" s="468" t="str">
        <f ca="1">IF(Tableau3453[[#This Row],[Date 
du paiement]]="",IF(Tableau3453[[#This Row],[Jours]]&lt;30,Tableau3453[[#This Row],[Montant
de la facture
CHF]],""),"")</f>
        <v/>
      </c>
      <c r="O784" s="468">
        <f ca="1">IF(Tableau3453[[#This Row],[Date 
du paiement]]="",IF(Tableau3453[[#This Row],[Jours]]&gt;30,IF(Tableau3453[[#This Row],[Jours]]&lt;60,Tableau3453[[#This Row],[Montant
de la facture
CHF]],""),""),"")</f>
        <v>7187.5</v>
      </c>
      <c r="P784" s="468" t="str">
        <f ca="1">IF(Tableau3453[[#This Row],[Date 
du paiement]]="",IF(Tableau3453[[#This Row],[Jours]]&gt;60,Tableau3453[[#This Row],[Montant
de la facture
CHF]],""),"")</f>
        <v/>
      </c>
      <c r="Q784" s="471"/>
      <c r="R784" s="472">
        <f>Tableau3453[[#This Row],[Solde 
ouverte
fm]]</f>
        <v>7187.5</v>
      </c>
      <c r="S784" s="468">
        <f ca="1">IF(Tableau3453[[#This Row],[Date 
du paiement]]="",IF(Tableau3453[[#This Row],[Jours]]-Tableau3453[[#This Row],[Conditions
pmt+]]&gt;0,Tableau3453[[#This Row],[Montant
de la facture
CHF]],"0.00"),"0.00")</f>
        <v>7187.5</v>
      </c>
    </row>
    <row r="785" spans="1:19" outlineLevel="1" x14ac:dyDescent="0.25">
      <c r="A785" s="473">
        <v>240966</v>
      </c>
      <c r="B785" s="454">
        <v>30</v>
      </c>
      <c r="C785" s="495" t="str">
        <f ca="1">IF(Tableau3453[[#This Row],[Date 
du paiement]]="",IF(Tableau3453[[#This Row],[Jours]]&gt;Tableau3453[[#This Row],[Conditions
pmt+]]+5,"oui",""),"")</f>
        <v>oui</v>
      </c>
      <c r="D785" s="467" t="s">
        <v>858</v>
      </c>
      <c r="E785" s="455">
        <v>45574</v>
      </c>
      <c r="F785" s="468">
        <v>1482.05</v>
      </c>
      <c r="G785" s="457">
        <f>IF(Tableau3453[[#This Row],[Date 
du paiement]]="",Tableau3453[[#This Row],[Montant
de la facture
CHF]],"")</f>
        <v>1482.05</v>
      </c>
      <c r="H785" s="458"/>
      <c r="I785" s="493">
        <v>45579</v>
      </c>
      <c r="J785" s="460"/>
      <c r="K785" s="461"/>
      <c r="L785" s="469">
        <v>1</v>
      </c>
      <c r="M785" s="470">
        <f ca="1">IF(Tableau3453[[#This Row],[Date 
du paiement]]="",$D$4-Tableau3453[[#This Row],[Date
de la facture]],Tableau3453[[#This Row],[Date 
du paiement]]-Tableau3453[[#This Row],[Date
de la facture]])</f>
        <v>43.46942534721893</v>
      </c>
      <c r="N785" s="468" t="str">
        <f ca="1">IF(Tableau3453[[#This Row],[Date 
du paiement]]="",IF(Tableau3453[[#This Row],[Jours]]&lt;30,Tableau3453[[#This Row],[Montant
de la facture
CHF]],""),"")</f>
        <v/>
      </c>
      <c r="O785" s="468">
        <f ca="1">IF(Tableau3453[[#This Row],[Date 
du paiement]]="",IF(Tableau3453[[#This Row],[Jours]]&gt;30,IF(Tableau3453[[#This Row],[Jours]]&lt;60,Tableau3453[[#This Row],[Montant
de la facture
CHF]],""),""),"")</f>
        <v>1482.05</v>
      </c>
      <c r="P785" s="468" t="str">
        <f ca="1">IF(Tableau3453[[#This Row],[Date 
du paiement]]="",IF(Tableau3453[[#This Row],[Jours]]&gt;60,Tableau3453[[#This Row],[Montant
de la facture
CHF]],""),"")</f>
        <v/>
      </c>
      <c r="Q785" s="471"/>
      <c r="R785" s="472">
        <f>Tableau3453[[#This Row],[Solde 
ouverte
fm]]</f>
        <v>1482.05</v>
      </c>
      <c r="S785" s="468">
        <f ca="1">IF(Tableau3453[[#This Row],[Date 
du paiement]]="",IF(Tableau3453[[#This Row],[Jours]]-Tableau3453[[#This Row],[Conditions
pmt+]]&gt;0,Tableau3453[[#This Row],[Montant
de la facture
CHF]],"0.00"),"0.00")</f>
        <v>1482.05</v>
      </c>
    </row>
    <row r="786" spans="1:19" outlineLevel="1" x14ac:dyDescent="0.25">
      <c r="A786" s="473">
        <v>241015</v>
      </c>
      <c r="B786" s="454">
        <v>30</v>
      </c>
      <c r="C786" s="505" t="str">
        <f ca="1">IF(Tableau3453[[#This Row],[Date 
du paiement]]="",IF(Tableau3453[[#This Row],[Jours]]&gt;Tableau3453[[#This Row],[Conditions
pmt+]]+5,"oui",""),"")</f>
        <v/>
      </c>
      <c r="D786" s="467" t="s">
        <v>858</v>
      </c>
      <c r="E786" s="455">
        <v>45594</v>
      </c>
      <c r="F786" s="468">
        <v>2009.2</v>
      </c>
      <c r="G786" s="501">
        <f>IF(Tableau3453[[#This Row],[Date 
du paiement]]="",Tableau3453[[#This Row],[Montant
de la facture
CHF]],"")</f>
        <v>2009.2</v>
      </c>
      <c r="H786" s="458"/>
      <c r="I786" s="493">
        <v>45597</v>
      </c>
      <c r="J786" s="460"/>
      <c r="K786" s="461"/>
      <c r="L786" s="469"/>
      <c r="M786" s="470">
        <f ca="1">IF(Tableau3453[[#This Row],[Date 
du paiement]]="",$D$4-Tableau3453[[#This Row],[Date
de la facture]],Tableau3453[[#This Row],[Date 
du paiement]]-Tableau3453[[#This Row],[Date
de la facture]])</f>
        <v>23.46942534721893</v>
      </c>
      <c r="N786" s="468">
        <f ca="1">IF(Tableau3453[[#This Row],[Date 
du paiement]]="",IF(Tableau3453[[#This Row],[Jours]]&lt;30,Tableau3453[[#This Row],[Montant
de la facture
CHF]],""),"")</f>
        <v>2009.2</v>
      </c>
      <c r="O786" s="468" t="str">
        <f ca="1">IF(Tableau3453[[#This Row],[Date 
du paiement]]="",IF(Tableau3453[[#This Row],[Jours]]&gt;30,IF(Tableau3453[[#This Row],[Jours]]&lt;60,Tableau3453[[#This Row],[Montant
de la facture
CHF]],""),""),"")</f>
        <v/>
      </c>
      <c r="P786" s="468" t="str">
        <f ca="1">IF(Tableau3453[[#This Row],[Date 
du paiement]]="",IF(Tableau3453[[#This Row],[Jours]]&gt;60,Tableau3453[[#This Row],[Montant
de la facture
CHF]],""),"")</f>
        <v/>
      </c>
      <c r="Q786" s="471"/>
      <c r="R786" s="472">
        <f>Tableau3453[[#This Row],[Solde 
ouverte
fm]]</f>
        <v>2009.2</v>
      </c>
      <c r="S786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87" spans="1:19" outlineLevel="1" x14ac:dyDescent="0.25">
      <c r="A787" s="473">
        <v>241020</v>
      </c>
      <c r="B787" s="454">
        <v>30</v>
      </c>
      <c r="C787" s="505" t="str">
        <f ca="1">IF(Tableau3453[[#This Row],[Date 
du paiement]]="",IF(Tableau3453[[#This Row],[Jours]]&gt;Tableau3453[[#This Row],[Conditions
pmt+]]+5,"oui",""),"")</f>
        <v/>
      </c>
      <c r="D787" s="467" t="s">
        <v>858</v>
      </c>
      <c r="E787" s="455">
        <v>45594</v>
      </c>
      <c r="F787" s="468">
        <v>189.15</v>
      </c>
      <c r="G787" s="501">
        <f>IF(Tableau3453[[#This Row],[Date 
du paiement]]="",Tableau3453[[#This Row],[Montant
de la facture
CHF]],"")</f>
        <v>189.15</v>
      </c>
      <c r="H787" s="458"/>
      <c r="I787" s="493">
        <v>45597</v>
      </c>
      <c r="J787" s="460"/>
      <c r="K787" s="461"/>
      <c r="L787" s="469"/>
      <c r="M787" s="470">
        <f ca="1">IF(Tableau3453[[#This Row],[Date 
du paiement]]="",$D$4-Tableau3453[[#This Row],[Date
de la facture]],Tableau3453[[#This Row],[Date 
du paiement]]-Tableau3453[[#This Row],[Date
de la facture]])</f>
        <v>23.46942534721893</v>
      </c>
      <c r="N787" s="468">
        <f ca="1">IF(Tableau3453[[#This Row],[Date 
du paiement]]="",IF(Tableau3453[[#This Row],[Jours]]&lt;30,Tableau3453[[#This Row],[Montant
de la facture
CHF]],""),"")</f>
        <v>189.15</v>
      </c>
      <c r="O787" s="468" t="str">
        <f ca="1">IF(Tableau3453[[#This Row],[Date 
du paiement]]="",IF(Tableau3453[[#This Row],[Jours]]&gt;30,IF(Tableau3453[[#This Row],[Jours]]&lt;60,Tableau3453[[#This Row],[Montant
de la facture
CHF]],""),""),"")</f>
        <v/>
      </c>
      <c r="P787" s="468" t="str">
        <f ca="1">IF(Tableau3453[[#This Row],[Date 
du paiement]]="",IF(Tableau3453[[#This Row],[Jours]]&gt;60,Tableau3453[[#This Row],[Montant
de la facture
CHF]],""),"")</f>
        <v/>
      </c>
      <c r="Q787" s="471"/>
      <c r="R787" s="472">
        <f>Tableau3453[[#This Row],[Solde 
ouverte
fm]]</f>
        <v>189.15</v>
      </c>
      <c r="S787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88" spans="1:19" hidden="1" outlineLevel="1" x14ac:dyDescent="0.25">
      <c r="A788" s="473" t="s">
        <v>1835</v>
      </c>
      <c r="B788" s="454">
        <v>30</v>
      </c>
      <c r="C788" s="505" t="str">
        <f>IF(Tableau3453[[#This Row],[Date 
du paiement]]="",IF(Tableau3453[[#This Row],[Jours]]&gt;Tableau3453[[#This Row],[Conditions
pmt+]]+5,"oui",""),"")</f>
        <v/>
      </c>
      <c r="D788" s="467" t="s">
        <v>1833</v>
      </c>
      <c r="E788" s="455">
        <v>45615</v>
      </c>
      <c r="F788" s="468">
        <v>425.85</v>
      </c>
      <c r="G788" s="501" t="str">
        <f>IF(Tableau3453[[#This Row],[Date 
du paiement]]="",Tableau3453[[#This Row],[Montant
de la facture
CHF]],"")</f>
        <v/>
      </c>
      <c r="H788" s="458"/>
      <c r="I788" s="493">
        <v>45616</v>
      </c>
      <c r="J788" s="460">
        <v>45520</v>
      </c>
      <c r="K788" s="461" t="s">
        <v>58</v>
      </c>
      <c r="L788" s="469"/>
      <c r="M788" s="470">
        <f>IF(Tableau3453[[#This Row],[Date 
du paiement]]="",$D$4-Tableau3453[[#This Row],[Date
de la facture]],Tableau3453[[#This Row],[Date 
du paiement]]-Tableau3453[[#This Row],[Date
de la facture]])</f>
        <v>-95</v>
      </c>
      <c r="N788" s="468" t="str">
        <f>IF(Tableau3453[[#This Row],[Date 
du paiement]]="",IF(Tableau3453[[#This Row],[Jours]]&lt;30,Tableau3453[[#This Row],[Montant
de la facture
CHF]],""),"")</f>
        <v/>
      </c>
      <c r="O788" s="468" t="str">
        <f>IF(Tableau3453[[#This Row],[Date 
du paiement]]="",IF(Tableau3453[[#This Row],[Jours]]&gt;30,IF(Tableau3453[[#This Row],[Jours]]&lt;60,Tableau3453[[#This Row],[Montant
de la facture
CHF]],""),""),"")</f>
        <v/>
      </c>
      <c r="P788" s="468" t="str">
        <f>IF(Tableau3453[[#This Row],[Date 
du paiement]]="",IF(Tableau3453[[#This Row],[Jours]]&gt;60,Tableau3453[[#This Row],[Montant
de la facture
CHF]],""),"")</f>
        <v/>
      </c>
      <c r="Q788" s="471"/>
      <c r="R788" s="472" t="str">
        <f>Tableau3453[[#This Row],[Solde 
ouverte
fm]]</f>
        <v/>
      </c>
      <c r="S788" s="468" t="str">
        <f>IF(Tableau3453[[#This Row],[Date 
du paiement]]="",IF(Tableau3453[[#This Row],[Jours]]-Tableau3453[[#This Row],[Conditions
pmt+]]&gt;0,Tableau3453[[#This Row],[Montant
de la facture
CHF]],"0.00"),"0.00")</f>
        <v>0.00</v>
      </c>
    </row>
    <row r="789" spans="1:19" outlineLevel="1" x14ac:dyDescent="0.25">
      <c r="A789" s="473">
        <v>241050</v>
      </c>
      <c r="B789" s="454" t="s">
        <v>857</v>
      </c>
      <c r="C789" s="505" t="str">
        <f ca="1">IF(Tableau3453[[#This Row],[Date 
du paiement]]="",IF(Tableau3453[[#This Row],[Jours]]&gt;Tableau3453[[#This Row],[Conditions
pmt+]]+5,"oui",""),"")</f>
        <v/>
      </c>
      <c r="D789" s="467" t="s">
        <v>858</v>
      </c>
      <c r="E789" s="455">
        <v>45607</v>
      </c>
      <c r="F789" s="468">
        <v>661.05</v>
      </c>
      <c r="G789" s="501">
        <f>IF(Tableau3453[[#This Row],[Date 
du paiement]]="",Tableau3453[[#This Row],[Montant
de la facture
CHF]],"")</f>
        <v>661.05</v>
      </c>
      <c r="H789" s="458"/>
      <c r="I789" s="493">
        <v>45608</v>
      </c>
      <c r="J789" s="460"/>
      <c r="K789" s="461"/>
      <c r="L789" s="469"/>
      <c r="M789" s="470">
        <f ca="1">IF(Tableau3453[[#This Row],[Date 
du paiement]]="",$D$4-Tableau3453[[#This Row],[Date
de la facture]],Tableau3453[[#This Row],[Date 
du paiement]]-Tableau3453[[#This Row],[Date
de la facture]])</f>
        <v>10.46942534721893</v>
      </c>
      <c r="N789" s="468">
        <f ca="1">IF(Tableau3453[[#This Row],[Date 
du paiement]]="",IF(Tableau3453[[#This Row],[Jours]]&lt;30,Tableau3453[[#This Row],[Montant
de la facture
CHF]],""),"")</f>
        <v>661.05</v>
      </c>
      <c r="O789" s="468" t="str">
        <f ca="1">IF(Tableau3453[[#This Row],[Date 
du paiement]]="",IF(Tableau3453[[#This Row],[Jours]]&gt;30,IF(Tableau3453[[#This Row],[Jours]]&lt;60,Tableau3453[[#This Row],[Montant
de la facture
CHF]],""),""),"")</f>
        <v/>
      </c>
      <c r="P789" s="468" t="str">
        <f ca="1">IF(Tableau3453[[#This Row],[Date 
du paiement]]="",IF(Tableau3453[[#This Row],[Jours]]&gt;60,Tableau3453[[#This Row],[Montant
de la facture
CHF]],""),"")</f>
        <v/>
      </c>
      <c r="Q789" s="471"/>
      <c r="R789" s="472">
        <f>Tableau3453[[#This Row],[Solde 
ouverte
fm]]</f>
        <v>661.05</v>
      </c>
      <c r="S789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90" spans="1:19" outlineLevel="1" x14ac:dyDescent="0.25">
      <c r="A790" s="473">
        <v>241053</v>
      </c>
      <c r="B790" s="454">
        <v>30</v>
      </c>
      <c r="C790" s="495" t="str">
        <f ca="1">IF(Tableau3453[[#This Row],[Date 
du paiement]]="",IF(Tableau3453[[#This Row],[Jours]]&gt;Tableau3453[[#This Row],[Conditions
pmt+]]+5,"oui",""),"")</f>
        <v/>
      </c>
      <c r="D790" s="467" t="s">
        <v>924</v>
      </c>
      <c r="E790" s="455">
        <v>45600</v>
      </c>
      <c r="F790" s="468">
        <v>1280.95</v>
      </c>
      <c r="G790" s="501">
        <f>IF(Tableau3453[[#This Row],[Date 
du paiement]]="",Tableau3453[[#This Row],[Montant
de la facture
CHF]],"")</f>
        <v>1280.95</v>
      </c>
      <c r="H790" s="458"/>
      <c r="I790" s="493">
        <v>45607</v>
      </c>
      <c r="J790" s="460"/>
      <c r="K790" s="461"/>
      <c r="L790" s="469"/>
      <c r="M790" s="470">
        <f ca="1">IF(Tableau3453[[#This Row],[Date 
du paiement]]="",$D$4-Tableau3453[[#This Row],[Date
de la facture]],Tableau3453[[#This Row],[Date 
du paiement]]-Tableau3453[[#This Row],[Date
de la facture]])</f>
        <v>17.46942534721893</v>
      </c>
      <c r="N790" s="468">
        <f ca="1">IF(Tableau3453[[#This Row],[Date 
du paiement]]="",IF(Tableau3453[[#This Row],[Jours]]&lt;30,Tableau3453[[#This Row],[Montant
de la facture
CHF]],""),"")</f>
        <v>1280.95</v>
      </c>
      <c r="O790" s="468" t="str">
        <f ca="1">IF(Tableau3453[[#This Row],[Date 
du paiement]]="",IF(Tableau3453[[#This Row],[Jours]]&gt;30,IF(Tableau3453[[#This Row],[Jours]]&lt;60,Tableau3453[[#This Row],[Montant
de la facture
CHF]],""),""),"")</f>
        <v/>
      </c>
      <c r="P790" s="468" t="str">
        <f ca="1">IF(Tableau3453[[#This Row],[Date 
du paiement]]="",IF(Tableau3453[[#This Row],[Jours]]&gt;60,Tableau3453[[#This Row],[Montant
de la facture
CHF]],""),"")</f>
        <v/>
      </c>
      <c r="Q790" s="471"/>
      <c r="R790" s="472">
        <f>Tableau3453[[#This Row],[Solde 
ouverte
fm]]</f>
        <v>1280.95</v>
      </c>
      <c r="S790" s="468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91" spans="1:19" outlineLevel="1" x14ac:dyDescent="0.25">
      <c r="A791" s="473" t="s">
        <v>1829</v>
      </c>
      <c r="B791" s="454">
        <v>30</v>
      </c>
      <c r="C791" s="495" t="str">
        <f ca="1">IF(Tableau3453[[#This Row],[Date 
du paiement]]="",IF(Tableau3453[[#This Row],[Jours]]&gt;Tableau3453[[#This Row],[Conditions
pmt+]]+5,"oui",""),"")</f>
        <v>oui</v>
      </c>
      <c r="D791" s="467" t="s">
        <v>1044</v>
      </c>
      <c r="E791" s="455">
        <v>45579</v>
      </c>
      <c r="F791" s="468">
        <f>398.15-66.35</f>
        <v>331.79999999999995</v>
      </c>
      <c r="G791" s="457">
        <f>IF(Tableau3453[[#This Row],[Date 
du paiement]]="",Tableau3453[[#This Row],[Montant
de la facture
CHF]],"")</f>
        <v>331.79999999999995</v>
      </c>
      <c r="H791" s="458"/>
      <c r="I791" s="493">
        <v>45580</v>
      </c>
      <c r="J791" s="460"/>
      <c r="K791" s="461"/>
      <c r="L791" s="469">
        <v>1</v>
      </c>
      <c r="M791" s="470">
        <f ca="1">IF(Tableau3453[[#This Row],[Date 
du paiement]]="",$D$4-Tableau3453[[#This Row],[Date
de la facture]],Tableau3453[[#This Row],[Date 
du paiement]]-Tableau3453[[#This Row],[Date
de la facture]])</f>
        <v>38.46942534721893</v>
      </c>
      <c r="N791" s="468" t="str">
        <f ca="1">IF(Tableau3453[[#This Row],[Date 
du paiement]]="",IF(Tableau3453[[#This Row],[Jours]]&lt;30,Tableau3453[[#This Row],[Montant
de la facture
CHF]],""),"")</f>
        <v/>
      </c>
      <c r="O791" s="468">
        <f ca="1">IF(Tableau3453[[#This Row],[Date 
du paiement]]="",IF(Tableau3453[[#This Row],[Jours]]&gt;30,IF(Tableau3453[[#This Row],[Jours]]&lt;60,Tableau3453[[#This Row],[Montant
de la facture
CHF]],""),""),"")</f>
        <v>331.79999999999995</v>
      </c>
      <c r="P791" s="468" t="str">
        <f ca="1">IF(Tableau3453[[#This Row],[Date 
du paiement]]="",IF(Tableau3453[[#This Row],[Jours]]&gt;60,Tableau3453[[#This Row],[Montant
de la facture
CHF]],""),"")</f>
        <v/>
      </c>
      <c r="Q791" s="471"/>
      <c r="R791" s="472">
        <f>Tableau3453[[#This Row],[Solde 
ouverte
fm]]</f>
        <v>331.79999999999995</v>
      </c>
      <c r="S791" s="468">
        <f ca="1">IF(Tableau3453[[#This Row],[Date 
du paiement]]="",IF(Tableau3453[[#This Row],[Jours]]-Tableau3453[[#This Row],[Conditions
pmt+]]&gt;0,Tableau3453[[#This Row],[Montant
de la facture
CHF]],"0.00"),"0.00")</f>
        <v>331.79999999999995</v>
      </c>
    </row>
    <row r="792" spans="1:19" outlineLevel="1" x14ac:dyDescent="0.25">
      <c r="A792" s="473">
        <v>12</v>
      </c>
      <c r="B792" s="454" t="s">
        <v>860</v>
      </c>
      <c r="C792" s="495" t="str">
        <f ca="1">IF(Tableau3453[[#This Row],[Date 
du paiement]]="",IF(Tableau3453[[#This Row],[Jours]]&gt;Tableau3453[[#This Row],[Conditions
pmt+]]+5,"oui",""),"")</f>
        <v>oui</v>
      </c>
      <c r="D792" s="467" t="s">
        <v>1602</v>
      </c>
      <c r="E792" s="455">
        <v>45376</v>
      </c>
      <c r="F792" s="468">
        <v>-1372.95</v>
      </c>
      <c r="G792" s="457">
        <f>IF(Tableau3453[[#This Row],[Date 
du paiement]]="",Tableau3453[[#This Row],[Montant
de la facture
CHF]],"")</f>
        <v>-1372.95</v>
      </c>
      <c r="H792" s="458"/>
      <c r="I792" s="493">
        <v>45377</v>
      </c>
      <c r="J792" s="460"/>
      <c r="K792" s="461"/>
      <c r="L792" s="506"/>
      <c r="M792" s="470">
        <f ca="1">IF(Tableau3453[[#This Row],[Date 
du paiement]]="",$D$4-Tableau3453[[#This Row],[Date
de la facture]],Tableau3453[[#This Row],[Date 
du paiement]]-Tableau3453[[#This Row],[Date
de la facture]])</f>
        <v>241.46942534721893</v>
      </c>
      <c r="N792" s="468" t="str">
        <f ca="1">IF(Tableau3453[[#This Row],[Date 
du paiement]]="",IF(Tableau3453[[#This Row],[Jours]]&lt;30,Tableau3453[[#This Row],[Montant
de la facture
CHF]],""),"")</f>
        <v/>
      </c>
      <c r="O792" s="468" t="str">
        <f ca="1">IF(Tableau3453[[#This Row],[Date 
du paiement]]="",IF(Tableau3453[[#This Row],[Jours]]&gt;30,IF(Tableau3453[[#This Row],[Jours]]&lt;60,Tableau3453[[#This Row],[Montant
de la facture
CHF]],""),""),"")</f>
        <v/>
      </c>
      <c r="P792" s="468">
        <f ca="1">IF(Tableau3453[[#This Row],[Date 
du paiement]]="",IF(Tableau3453[[#This Row],[Jours]]&gt;60,Tableau3453[[#This Row],[Montant
de la facture
CHF]],""),"")</f>
        <v>-1372.95</v>
      </c>
      <c r="Q792" s="471"/>
      <c r="R792" s="472">
        <f>Tableau3453[[#This Row],[Solde 
ouverte
fm]]</f>
        <v>-1372.95</v>
      </c>
      <c r="S792" s="468">
        <f ca="1">IF(Tableau3453[[#This Row],[Date 
du paiement]]="",IF(Tableau3453[[#This Row],[Jours]]-Tableau3453[[#This Row],[Conditions
pmt+]]&gt;0,Tableau3453[[#This Row],[Montant
de la facture
CHF]],"0.00"),"0.00")</f>
        <v>-1372.95</v>
      </c>
    </row>
    <row r="793" spans="1:19" outlineLevel="1" x14ac:dyDescent="0.25">
      <c r="A793" s="481">
        <v>241101</v>
      </c>
      <c r="B793" s="482">
        <v>30</v>
      </c>
      <c r="C793" s="507" t="str">
        <f ca="1">IF(Tableau3453[[#This Row],[Date 
du paiement]]="",IF(Tableau3453[[#This Row],[Jours]]&gt;Tableau3453[[#This Row],[Conditions
pmt+]]+5,"oui",""),"")</f>
        <v/>
      </c>
      <c r="D793" s="483" t="s">
        <v>1847</v>
      </c>
      <c r="E793" s="484">
        <v>45616</v>
      </c>
      <c r="F793" s="485">
        <v>4444.3500000000004</v>
      </c>
      <c r="G793" s="503">
        <f>IF(Tableau3453[[#This Row],[Date 
du paiement]]="",Tableau3453[[#This Row],[Montant
de la facture
CHF]],"")</f>
        <v>4444.3500000000004</v>
      </c>
      <c r="H793" s="486"/>
      <c r="I793" s="493">
        <v>45617</v>
      </c>
      <c r="J793" s="487"/>
      <c r="K793" s="488"/>
      <c r="L793" s="489"/>
      <c r="M793" s="490">
        <f ca="1">IF(Tableau3453[[#This Row],[Date 
du paiement]]="",$D$4-Tableau3453[[#This Row],[Date
de la facture]],Tableau3453[[#This Row],[Date 
du paiement]]-Tableau3453[[#This Row],[Date
de la facture]])</f>
        <v>1.4694253472189303</v>
      </c>
      <c r="N793" s="485">
        <f ca="1">IF(Tableau3453[[#This Row],[Date 
du paiement]]="",IF(Tableau3453[[#This Row],[Jours]]&lt;30,Tableau3453[[#This Row],[Montant
de la facture
CHF]],""),"")</f>
        <v>4444.3500000000004</v>
      </c>
      <c r="O793" s="485" t="str">
        <f ca="1">IF(Tableau3453[[#This Row],[Date 
du paiement]]="",IF(Tableau3453[[#This Row],[Jours]]&gt;30,IF(Tableau3453[[#This Row],[Jours]]&lt;60,Tableau3453[[#This Row],[Montant
de la facture
CHF]],""),""),"")</f>
        <v/>
      </c>
      <c r="P793" s="485" t="str">
        <f ca="1">IF(Tableau3453[[#This Row],[Date 
du paiement]]="",IF(Tableau3453[[#This Row],[Jours]]&gt;60,Tableau3453[[#This Row],[Montant
de la facture
CHF]],""),"")</f>
        <v/>
      </c>
      <c r="Q793" s="491"/>
      <c r="R793" s="492">
        <f>Tableau3453[[#This Row],[Solde 
ouverte
fm]]</f>
        <v>4444.3500000000004</v>
      </c>
      <c r="S793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94" spans="1:19" outlineLevel="1" x14ac:dyDescent="0.25">
      <c r="A794" s="481">
        <v>241073</v>
      </c>
      <c r="B794" s="482">
        <v>30</v>
      </c>
      <c r="C794" s="497" t="str">
        <f ca="1">IF(Tableau3453[[#This Row],[Date 
du paiement]]="",IF(Tableau3453[[#This Row],[Jours]]&gt;Tableau3453[[#This Row],[Conditions
pmt+]]+5,"oui",""),"")</f>
        <v/>
      </c>
      <c r="D794" s="483" t="s">
        <v>1803</v>
      </c>
      <c r="E794" s="484">
        <v>45608</v>
      </c>
      <c r="F794" s="485">
        <v>910</v>
      </c>
      <c r="G794" s="503">
        <f>IF(Tableau3453[[#This Row],[Date 
du paiement]]="",Tableau3453[[#This Row],[Montant
de la facture
CHF]],"")</f>
        <v>910</v>
      </c>
      <c r="H794" s="486"/>
      <c r="I794" s="493">
        <v>45610</v>
      </c>
      <c r="J794" s="487"/>
      <c r="K794" s="488"/>
      <c r="L794" s="489"/>
      <c r="M794" s="490">
        <f ca="1">IF(Tableau3453[[#This Row],[Date 
du paiement]]="",$D$4-Tableau3453[[#This Row],[Date
de la facture]],Tableau3453[[#This Row],[Date 
du paiement]]-Tableau3453[[#This Row],[Date
de la facture]])</f>
        <v>9.4694253472189303</v>
      </c>
      <c r="N794" s="485">
        <f ca="1">IF(Tableau3453[[#This Row],[Date 
du paiement]]="",IF(Tableau3453[[#This Row],[Jours]]&lt;30,Tableau3453[[#This Row],[Montant
de la facture
CHF]],""),"")</f>
        <v>910</v>
      </c>
      <c r="O794" s="485" t="str">
        <f ca="1">IF(Tableau3453[[#This Row],[Date 
du paiement]]="",IF(Tableau3453[[#This Row],[Jours]]&gt;30,IF(Tableau3453[[#This Row],[Jours]]&lt;60,Tableau3453[[#This Row],[Montant
de la facture
CHF]],""),""),"")</f>
        <v/>
      </c>
      <c r="P794" s="485" t="str">
        <f ca="1">IF(Tableau3453[[#This Row],[Date 
du paiement]]="",IF(Tableau3453[[#This Row],[Jours]]&gt;60,Tableau3453[[#This Row],[Montant
de la facture
CHF]],""),"")</f>
        <v/>
      </c>
      <c r="Q794" s="491"/>
      <c r="R794" s="492">
        <f>Tableau3453[[#This Row],[Solde 
ouverte
fm]]</f>
        <v>910</v>
      </c>
      <c r="S794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95" spans="1:19" outlineLevel="1" x14ac:dyDescent="0.25">
      <c r="A795" s="481">
        <v>241054</v>
      </c>
      <c r="B795" s="482">
        <v>30</v>
      </c>
      <c r="C795" s="497" t="str">
        <f ca="1">IF(Tableau3453[[#This Row],[Date 
du paiement]]="",IF(Tableau3453[[#This Row],[Jours]]&gt;Tableau3453[[#This Row],[Conditions
pmt+]]+5,"oui",""),"")</f>
        <v/>
      </c>
      <c r="D795" s="483" t="s">
        <v>929</v>
      </c>
      <c r="E795" s="484">
        <v>45611</v>
      </c>
      <c r="F795" s="485">
        <v>5130.1499999999996</v>
      </c>
      <c r="G795" s="503">
        <f>IF(Tableau3453[[#This Row],[Date 
du paiement]]="",Tableau3453[[#This Row],[Montant
de la facture
CHF]],"")</f>
        <v>5130.1499999999996</v>
      </c>
      <c r="H795" s="486"/>
      <c r="I795" s="493">
        <v>45616</v>
      </c>
      <c r="J795" s="487"/>
      <c r="K795" s="488"/>
      <c r="L795" s="489"/>
      <c r="M795" s="490">
        <f ca="1">IF(Tableau3453[[#This Row],[Date 
du paiement]]="",$D$4-Tableau3453[[#This Row],[Date
de la facture]],Tableau3453[[#This Row],[Date 
du paiement]]-Tableau3453[[#This Row],[Date
de la facture]])</f>
        <v>6.4694253472189303</v>
      </c>
      <c r="N795" s="485">
        <f ca="1">IF(Tableau3453[[#This Row],[Date 
du paiement]]="",IF(Tableau3453[[#This Row],[Jours]]&lt;30,Tableau3453[[#This Row],[Montant
de la facture
CHF]],""),"")</f>
        <v>5130.1499999999996</v>
      </c>
      <c r="O795" s="485" t="str">
        <f ca="1">IF(Tableau3453[[#This Row],[Date 
du paiement]]="",IF(Tableau3453[[#This Row],[Jours]]&gt;30,IF(Tableau3453[[#This Row],[Jours]]&lt;60,Tableau3453[[#This Row],[Montant
de la facture
CHF]],""),""),"")</f>
        <v/>
      </c>
      <c r="P795" s="485" t="str">
        <f ca="1">IF(Tableau3453[[#This Row],[Date 
du paiement]]="",IF(Tableau3453[[#This Row],[Jours]]&gt;60,Tableau3453[[#This Row],[Montant
de la facture
CHF]],""),"")</f>
        <v/>
      </c>
      <c r="Q795" s="491"/>
      <c r="R795" s="492">
        <f>Tableau3453[[#This Row],[Solde 
ouverte
fm]]</f>
        <v>5130.1499999999996</v>
      </c>
      <c r="S795" s="485" t="str">
        <f ca="1">IF(Tableau3453[[#This Row],[Date 
du paiement]]="",IF(Tableau3453[[#This Row],[Jours]]-Tableau3453[[#This Row],[Conditions
pmt+]]&gt;0,Tableau3453[[#This Row],[Montant
de la facture
CHF]],"0.00"),"0.00")</f>
        <v>0.00</v>
      </c>
    </row>
    <row r="796" spans="1:19" outlineLevel="1" x14ac:dyDescent="0.25">
      <c r="A796" s="481">
        <v>240990</v>
      </c>
      <c r="B796" s="482">
        <v>30</v>
      </c>
      <c r="C796" s="497" t="str">
        <f ca="1">IF(Tableau3453[[#This Row],[Date 
du paiement]]="",IF(Tableau3453[[#This Row],[Jours]]&gt;Tableau3453[[#This Row],[Conditions
pmt+]]+5,"oui",""),"")</f>
        <v>oui</v>
      </c>
      <c r="D796" s="483" t="s">
        <v>898</v>
      </c>
      <c r="E796" s="484">
        <v>45580</v>
      </c>
      <c r="F796" s="485">
        <v>448.4</v>
      </c>
      <c r="G796" s="504">
        <f>IF(Tableau3453[[#This Row],[Date 
du paiement]]="",Tableau3453[[#This Row],[Montant
de la facture
CHF]],"")</f>
        <v>448.4</v>
      </c>
      <c r="H796" s="486"/>
      <c r="I796" s="493">
        <v>45582</v>
      </c>
      <c r="J796" s="487"/>
      <c r="K796" s="488"/>
      <c r="L796" s="489">
        <v>1</v>
      </c>
      <c r="M796" s="490">
        <f ca="1">IF(Tableau3453[[#This Row],[Date 
du paiement]]="",$D$4-Tableau3453[[#This Row],[Date
de la facture]],Tableau3453[[#This Row],[Date 
du paiement]]-Tableau3453[[#This Row],[Date
de la facture]])</f>
        <v>37.46942534721893</v>
      </c>
      <c r="N796" s="485" t="str">
        <f ca="1">IF(Tableau3453[[#This Row],[Date 
du paiement]]="",IF(Tableau3453[[#This Row],[Jours]]&lt;30,Tableau3453[[#This Row],[Montant
de la facture
CHF]],""),"")</f>
        <v/>
      </c>
      <c r="O796" s="485">
        <f ca="1">IF(Tableau3453[[#This Row],[Date 
du paiement]]="",IF(Tableau3453[[#This Row],[Jours]]&gt;30,IF(Tableau3453[[#This Row],[Jours]]&lt;60,Tableau3453[[#This Row],[Montant
de la facture
CHF]],""),""),"")</f>
        <v>448.4</v>
      </c>
      <c r="P796" s="485" t="str">
        <f ca="1">IF(Tableau3453[[#This Row],[Date 
du paiement]]="",IF(Tableau3453[[#This Row],[Jours]]&gt;60,Tableau3453[[#This Row],[Montant
de la facture
CHF]],""),"")</f>
        <v/>
      </c>
      <c r="Q796" s="491"/>
      <c r="R796" s="492">
        <f>Tableau3453[[#This Row],[Solde 
ouverte
fm]]</f>
        <v>448.4</v>
      </c>
      <c r="S796" s="485">
        <f ca="1">IF(Tableau3453[[#This Row],[Date 
du paiement]]="",IF(Tableau3453[[#This Row],[Jours]]-Tableau3453[[#This Row],[Conditions
pmt+]]&gt;0,Tableau3453[[#This Row],[Montant
de la facture
CHF]],"0.00"),"0.00")</f>
        <v>448.4</v>
      </c>
    </row>
    <row r="797" spans="1:19" s="146" customFormat="1" x14ac:dyDescent="0.25">
      <c r="A797" s="512" t="s">
        <v>839</v>
      </c>
      <c r="B797" s="513"/>
      <c r="C797" s="514"/>
      <c r="D797" s="512"/>
      <c r="E797" s="515"/>
      <c r="F797" s="516">
        <f>SUBTOTAL(9,F16:F796)</f>
        <v>335155.84999999986</v>
      </c>
      <c r="G797" s="517"/>
      <c r="H797" s="518"/>
      <c r="I797" s="519"/>
      <c r="J797" s="520"/>
      <c r="K797" s="521"/>
      <c r="L797" s="522"/>
      <c r="M797" s="522"/>
      <c r="N797" s="516">
        <f ca="1">SUBTOTAL(9,N16:N796)</f>
        <v>163780.40000000002</v>
      </c>
      <c r="O797" s="516">
        <f ca="1">SUBTOTAL(9,O16:O796)</f>
        <v>167182.89999999994</v>
      </c>
      <c r="P797" s="516">
        <f ca="1">SUBTOTAL(9,P16:P796)</f>
        <v>4192.5499999999993</v>
      </c>
      <c r="Q797" s="516"/>
      <c r="R797" s="516">
        <f>SUBTOTAL(9,R16:R796)</f>
        <v>335155.84999999986</v>
      </c>
      <c r="S797" s="516">
        <f ca="1">SUBTOTAL(9,S16:S796)</f>
        <v>123556.25000000003</v>
      </c>
    </row>
  </sheetData>
  <sheetProtection formatCells="0" formatColumns="0" formatRows="0" insertColumns="0" insertRows="0" insertHyperlinks="0" deleteColumns="0" deleteRows="0" autoFilter="0" pivotTables="0"/>
  <conditionalFormatting sqref="F145 D145">
    <cfRule type="cellIs" dxfId="88" priority="103" stopIfTrue="1" operator="equal">
      <formula>"A"</formula>
    </cfRule>
  </conditionalFormatting>
  <conditionalFormatting sqref="F145 D145">
    <cfRule type="cellIs" dxfId="87" priority="102" stopIfTrue="1" operator="equal">
      <formula>"R"</formula>
    </cfRule>
  </conditionalFormatting>
  <conditionalFormatting sqref="F145 D145">
    <cfRule type="cellIs" dxfId="86" priority="81" stopIfTrue="1" operator="equal">
      <formula>"T"</formula>
    </cfRule>
    <cfRule type="cellIs" dxfId="85" priority="100" stopIfTrue="1" operator="equal">
      <formula>"S"</formula>
    </cfRule>
    <cfRule type="cellIs" dxfId="84" priority="101" stopIfTrue="1" operator="equal">
      <formula>"C"</formula>
    </cfRule>
  </conditionalFormatting>
  <conditionalFormatting sqref="F145 D145">
    <cfRule type="cellIs" dxfId="83" priority="99" stopIfTrue="1" operator="equal">
      <formula>"C"</formula>
    </cfRule>
  </conditionalFormatting>
  <conditionalFormatting sqref="F145 D145">
    <cfRule type="cellIs" dxfId="82" priority="98" stopIfTrue="1" operator="equal">
      <formula>"M"</formula>
    </cfRule>
  </conditionalFormatting>
  <conditionalFormatting sqref="F145 D145">
    <cfRule type="cellIs" dxfId="81" priority="97" stopIfTrue="1" operator="equal">
      <formula>"A"</formula>
    </cfRule>
  </conditionalFormatting>
  <conditionalFormatting sqref="F145 D145">
    <cfRule type="cellIs" dxfId="80" priority="95" stopIfTrue="1" operator="equal">
      <formula>"M"</formula>
    </cfRule>
    <cfRule type="cellIs" dxfId="79" priority="96" stopIfTrue="1" operator="equal">
      <formula>"A"</formula>
    </cfRule>
  </conditionalFormatting>
  <conditionalFormatting sqref="F145 D145">
    <cfRule type="cellIs" dxfId="78" priority="94" stopIfTrue="1" operator="equal">
      <formula>"PV"</formula>
    </cfRule>
  </conditionalFormatting>
  <conditionalFormatting sqref="M2:M13 M16:M1048576">
    <cfRule type="cellIs" dxfId="77" priority="93" stopIfTrue="1" operator="greaterThan">
      <formula>30</formula>
    </cfRule>
  </conditionalFormatting>
  <conditionalFormatting sqref="N1:Q14 E24:F24 E40:F41 E67:F67 E74:F74 E87:F87 E146:F146 E153:F153 E165:F165 E184:F184 E207:F207 E255:F255 L16:L258 M16:M20 L274:L275 L270:L271 L265 L263 H146:H258 H66:H144 H16:H57 H59:H63 E238:F238 E231:F231 E122:F122 E252:F252 E117:F118 J16:K20 A449:B449 A450:A454 E449:E454 A457:A519 N16:Q454 E466:E519 I26 I16:I24 L449:L534 E27:F29 E102:F103 E127:F128 E171:F171 A16:B258 E173:F173 D174:F183 D172:F172 D129:F145 D208:F230 D253:F254 D104:F116 D123:F126 D232:F237 D239:F251 D256:F258 D185:F206 D166:F170 D154:F164 D147:F152 D119:F121 D88:F101 D75:F86 D68:F73 D42:F66 D30:F39 D25:F26 D16:F23 N599:P599 N600:Q635 H449:H456 H472:H534 N457:Q598 H458:H470 G16:G737 A738 E738 L738:L796 G738:H796 N638:Q1048576">
    <cfRule type="cellIs" dxfId="76" priority="92" operator="equal">
      <formula>"PV"</formula>
    </cfRule>
  </conditionalFormatting>
  <conditionalFormatting sqref="E173:F173">
    <cfRule type="cellIs" dxfId="75" priority="80" operator="equal">
      <formula>"PV"</formula>
    </cfRule>
  </conditionalFormatting>
  <conditionalFormatting sqref="E186:F186">
    <cfRule type="cellIs" dxfId="74" priority="79" operator="equal">
      <formula>"PV"</formula>
    </cfRule>
  </conditionalFormatting>
  <conditionalFormatting sqref="A244">
    <cfRule type="cellIs" dxfId="73" priority="78" operator="equal">
      <formula>"PV"</formula>
    </cfRule>
  </conditionalFormatting>
  <conditionalFormatting sqref="A246">
    <cfRule type="cellIs" dxfId="72" priority="77" operator="equal">
      <formula>"PV"</formula>
    </cfRule>
  </conditionalFormatting>
  <conditionalFormatting sqref="E250:F250">
    <cfRule type="cellIs" dxfId="71" priority="76" operator="equal">
      <formula>"PV"</formula>
    </cfRule>
  </conditionalFormatting>
  <conditionalFormatting sqref="E251:F251">
    <cfRule type="cellIs" dxfId="70" priority="75" operator="equal">
      <formula>"PV"</formula>
    </cfRule>
  </conditionalFormatting>
  <conditionalFormatting sqref="E252:F252">
    <cfRule type="cellIs" dxfId="69" priority="74" operator="equal">
      <formula>"PV"</formula>
    </cfRule>
  </conditionalFormatting>
  <conditionalFormatting sqref="F146">
    <cfRule type="cellIs" dxfId="68" priority="73" stopIfTrue="1" operator="equal">
      <formula>"A"</formula>
    </cfRule>
  </conditionalFormatting>
  <conditionalFormatting sqref="F146">
    <cfRule type="cellIs" dxfId="67" priority="72" stopIfTrue="1" operator="equal">
      <formula>"R"</formula>
    </cfRule>
  </conditionalFormatting>
  <conditionalFormatting sqref="F146">
    <cfRule type="cellIs" dxfId="66" priority="63" stopIfTrue="1" operator="equal">
      <formula>"T"</formula>
    </cfRule>
    <cfRule type="cellIs" dxfId="65" priority="70" stopIfTrue="1" operator="equal">
      <formula>"S"</formula>
    </cfRule>
    <cfRule type="cellIs" dxfId="64" priority="71" stopIfTrue="1" operator="equal">
      <formula>"C"</formula>
    </cfRule>
  </conditionalFormatting>
  <conditionalFormatting sqref="F146">
    <cfRule type="cellIs" dxfId="63" priority="69" stopIfTrue="1" operator="equal">
      <formula>"C"</formula>
    </cfRule>
  </conditionalFormatting>
  <conditionalFormatting sqref="F146">
    <cfRule type="cellIs" dxfId="62" priority="68" stopIfTrue="1" operator="equal">
      <formula>"M"</formula>
    </cfRule>
  </conditionalFormatting>
  <conditionalFormatting sqref="F146">
    <cfRule type="cellIs" dxfId="61" priority="67" stopIfTrue="1" operator="equal">
      <formula>"A"</formula>
    </cfRule>
  </conditionalFormatting>
  <conditionalFormatting sqref="F146">
    <cfRule type="cellIs" dxfId="60" priority="65" stopIfTrue="1" operator="equal">
      <formula>"M"</formula>
    </cfRule>
    <cfRule type="cellIs" dxfId="59" priority="66" stopIfTrue="1" operator="equal">
      <formula>"A"</formula>
    </cfRule>
  </conditionalFormatting>
  <conditionalFormatting sqref="F146">
    <cfRule type="cellIs" dxfId="58" priority="64" stopIfTrue="1" operator="equal">
      <formula>"PV"</formula>
    </cfRule>
  </conditionalFormatting>
  <conditionalFormatting sqref="Q5:Q9 B5:C9 G5:H9">
    <cfRule type="cellIs" dxfId="57" priority="62" operator="equal">
      <formula>"P"</formula>
    </cfRule>
  </conditionalFormatting>
  <conditionalFormatting sqref="L1:L14 L16:L1048576">
    <cfRule type="cellIs" dxfId="56" priority="60" operator="greaterThan">
      <formula>2</formula>
    </cfRule>
    <cfRule type="cellIs" dxfId="55" priority="61" operator="greaterThan">
      <formula>2</formula>
    </cfRule>
  </conditionalFormatting>
  <conditionalFormatting sqref="G797">
    <cfRule type="cellIs" dxfId="54" priority="59" operator="equal">
      <formula>"PV"</formula>
    </cfRule>
  </conditionalFormatting>
  <conditionalFormatting sqref="L1:L14 L16:L1048576">
    <cfRule type="cellIs" dxfId="53" priority="58" operator="greaterThan">
      <formula>2</formula>
    </cfRule>
  </conditionalFormatting>
  <conditionalFormatting sqref="R16:R20">
    <cfRule type="cellIs" dxfId="52" priority="56" operator="equal">
      <formula>"PV"</formula>
    </cfRule>
  </conditionalFormatting>
  <conditionalFormatting sqref="R5:R9">
    <cfRule type="cellIs" dxfId="51" priority="55" operator="equal">
      <formula>"P"</formula>
    </cfRule>
  </conditionalFormatting>
  <conditionalFormatting sqref="D13">
    <cfRule type="cellIs" dxfId="50" priority="54" operator="equal">
      <formula>"PV"</formula>
    </cfRule>
  </conditionalFormatting>
  <conditionalFormatting sqref="D259">
    <cfRule type="cellIs" dxfId="49" priority="53" operator="equal">
      <formula>"PV"</formula>
    </cfRule>
  </conditionalFormatting>
  <conditionalFormatting sqref="D260">
    <cfRule type="cellIs" dxfId="48" priority="52" operator="equal">
      <formula>"PV"</formula>
    </cfRule>
  </conditionalFormatting>
  <conditionalFormatting sqref="H302:H304">
    <cfRule type="cellIs" dxfId="47" priority="51" operator="equal">
      <formula>"PV"</formula>
    </cfRule>
  </conditionalFormatting>
  <conditionalFormatting sqref="H289">
    <cfRule type="cellIs" dxfId="46" priority="50" operator="equal">
      <formula>"PV"</formula>
    </cfRule>
  </conditionalFormatting>
  <conditionalFormatting sqref="H340">
    <cfRule type="cellIs" dxfId="45" priority="49" operator="equal">
      <formula>"PV"</formula>
    </cfRule>
  </conditionalFormatting>
  <conditionalFormatting sqref="H455">
    <cfRule type="cellIs" dxfId="44" priority="48" stopIfTrue="1" operator="equal">
      <formula>"A"</formula>
    </cfRule>
  </conditionalFormatting>
  <conditionalFormatting sqref="H455">
    <cfRule type="cellIs" dxfId="43" priority="47" stopIfTrue="1" operator="equal">
      <formula>"R"</formula>
    </cfRule>
  </conditionalFormatting>
  <conditionalFormatting sqref="H455">
    <cfRule type="cellIs" dxfId="42" priority="37" stopIfTrue="1" operator="equal">
      <formula>"T"</formula>
    </cfRule>
    <cfRule type="cellIs" dxfId="41" priority="45" stopIfTrue="1" operator="equal">
      <formula>"S"</formula>
    </cfRule>
    <cfRule type="cellIs" dxfId="40" priority="46" stopIfTrue="1" operator="equal">
      <formula>"C"</formula>
    </cfRule>
  </conditionalFormatting>
  <conditionalFormatting sqref="H455">
    <cfRule type="cellIs" dxfId="39" priority="44" stopIfTrue="1" operator="equal">
      <formula>"C"</formula>
    </cfRule>
  </conditionalFormatting>
  <conditionalFormatting sqref="H455">
    <cfRule type="cellIs" dxfId="38" priority="43" stopIfTrue="1" operator="equal">
      <formula>"M"</formula>
    </cfRule>
  </conditionalFormatting>
  <conditionalFormatting sqref="H455">
    <cfRule type="cellIs" dxfId="37" priority="42" stopIfTrue="1" operator="equal">
      <formula>"A"</formula>
    </cfRule>
  </conditionalFormatting>
  <conditionalFormatting sqref="H455">
    <cfRule type="cellIs" dxfId="36" priority="40" stopIfTrue="1" operator="equal">
      <formula>"M"</formula>
    </cfRule>
    <cfRule type="cellIs" dxfId="35" priority="41" stopIfTrue="1" operator="equal">
      <formula>"A"</formula>
    </cfRule>
  </conditionalFormatting>
  <conditionalFormatting sqref="H455">
    <cfRule type="cellIs" dxfId="34" priority="39" stopIfTrue="1" operator="equal">
      <formula>"PV"</formula>
    </cfRule>
  </conditionalFormatting>
  <conditionalFormatting sqref="H456">
    <cfRule type="cellIs" dxfId="33" priority="33" stopIfTrue="1" operator="equal">
      <formula>"A"</formula>
    </cfRule>
  </conditionalFormatting>
  <conditionalFormatting sqref="H456">
    <cfRule type="cellIs" dxfId="32" priority="32" stopIfTrue="1" operator="equal">
      <formula>"R"</formula>
    </cfRule>
  </conditionalFormatting>
  <conditionalFormatting sqref="H456">
    <cfRule type="cellIs" dxfId="31" priority="22" stopIfTrue="1" operator="equal">
      <formula>"T"</formula>
    </cfRule>
    <cfRule type="cellIs" dxfId="30" priority="30" stopIfTrue="1" operator="equal">
      <formula>"S"</formula>
    </cfRule>
    <cfRule type="cellIs" dxfId="29" priority="31" stopIfTrue="1" operator="equal">
      <formula>"C"</formula>
    </cfRule>
  </conditionalFormatting>
  <conditionalFormatting sqref="H456">
    <cfRule type="cellIs" dxfId="28" priority="29" stopIfTrue="1" operator="equal">
      <formula>"C"</formula>
    </cfRule>
  </conditionalFormatting>
  <conditionalFormatting sqref="H456">
    <cfRule type="cellIs" dxfId="27" priority="28" stopIfTrue="1" operator="equal">
      <formula>"M"</formula>
    </cfRule>
  </conditionalFormatting>
  <conditionalFormatting sqref="H456">
    <cfRule type="cellIs" dxfId="26" priority="27" stopIfTrue="1" operator="equal">
      <formula>"A"</formula>
    </cfRule>
  </conditionalFormatting>
  <conditionalFormatting sqref="H456">
    <cfRule type="cellIs" dxfId="25" priority="25" stopIfTrue="1" operator="equal">
      <formula>"M"</formula>
    </cfRule>
    <cfRule type="cellIs" dxfId="24" priority="26" stopIfTrue="1" operator="equal">
      <formula>"A"</formula>
    </cfRule>
  </conditionalFormatting>
  <conditionalFormatting sqref="H456">
    <cfRule type="cellIs" dxfId="23" priority="24" stopIfTrue="1" operator="equal">
      <formula>"PV"</formula>
    </cfRule>
  </conditionalFormatting>
  <conditionalFormatting sqref="K456">
    <cfRule type="cellIs" dxfId="22" priority="20" operator="greaterThan">
      <formula>2</formula>
    </cfRule>
    <cfRule type="cellIs" dxfId="21" priority="21" operator="greaterThan">
      <formula>2</formula>
    </cfRule>
  </conditionalFormatting>
  <conditionalFormatting sqref="K456">
    <cfRule type="cellIs" dxfId="20" priority="19" operator="greaterThan">
      <formula>2</formula>
    </cfRule>
  </conditionalFormatting>
  <conditionalFormatting sqref="E455:E461">
    <cfRule type="cellIs" dxfId="19" priority="18" operator="equal">
      <formula>"PV"</formula>
    </cfRule>
  </conditionalFormatting>
  <conditionalFormatting sqref="E463:E465">
    <cfRule type="cellIs" dxfId="18" priority="17" operator="equal">
      <formula>"PV"</formula>
    </cfRule>
  </conditionalFormatting>
  <conditionalFormatting sqref="E462">
    <cfRule type="cellIs" dxfId="17" priority="16" operator="equal">
      <formula>"PV"</formula>
    </cfRule>
  </conditionalFormatting>
  <conditionalFormatting sqref="F379:F546">
    <cfRule type="cellIs" dxfId="16" priority="13" operator="lessThan">
      <formula>0</formula>
    </cfRule>
  </conditionalFormatting>
  <conditionalFormatting sqref="D570">
    <cfRule type="cellIs" dxfId="15" priority="12" operator="equal">
      <formula>"PV"</formula>
    </cfRule>
  </conditionalFormatting>
  <conditionalFormatting sqref="F738">
    <cfRule type="cellIs" dxfId="14" priority="3" operator="lessThan">
      <formula>0</formula>
    </cfRule>
  </conditionalFormatting>
  <conditionalFormatting sqref="H685">
    <cfRule type="cellIs" dxfId="13" priority="2" operator="equal">
      <formula>"PV"</formula>
    </cfRule>
  </conditionalFormatting>
  <conditionalFormatting sqref="L619">
    <cfRule type="cellIs" dxfId="0" priority="1" operator="equal">
      <formula>"PV"</formula>
    </cfRule>
  </conditionalFormatting>
  <dataValidations disablePrompts="1" count="1">
    <dataValidation type="list" allowBlank="1" showInputMessage="1" showErrorMessage="1" sqref="J15" xr:uid="{1E5627EB-3A23-430E-B157-1F20F5ED6E32}">
      <formula1>_xlnm.Print_Titles</formula1>
    </dataValidation>
  </dataValidations>
  <hyperlinks>
    <hyperlink ref="H379" r:id="rId1" display="mailto:compta-leman@colas.ch" xr:uid="{CB5543EC-73D9-4613-B31C-6EE05810A0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3" orientation="landscape" r:id="rId2"/>
  <headerFooter>
    <oddFooter xml:space="preserve">&amp;L&amp;D&amp;Rpage &amp;P de &amp;N </oddFooter>
  </headerFooter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E7D7-8112-4091-BC73-CB029F2C278A}">
  <sheetPr>
    <pageSetUpPr fitToPage="1"/>
  </sheetPr>
  <dimension ref="A1:AI768"/>
  <sheetViews>
    <sheetView zoomScale="80" zoomScaleNormal="80" workbookViewId="0">
      <pane xSplit="6" ySplit="21" topLeftCell="I736" activePane="bottomRight" state="frozen"/>
      <selection pane="topRight" activeCell="G1" sqref="G1"/>
      <selection pane="bottomLeft" activeCell="A16" sqref="A16"/>
      <selection pane="bottomRight" activeCell="D744" sqref="D744"/>
    </sheetView>
  </sheetViews>
  <sheetFormatPr baseColWidth="10" defaultRowHeight="15" outlineLevelRow="1" outlineLevelCol="1" x14ac:dyDescent="0.25"/>
  <cols>
    <col min="1" max="1" width="29.140625" style="13" customWidth="1"/>
    <col min="2" max="2" width="13" style="14" bestFit="1" customWidth="1"/>
    <col min="3" max="3" width="12.85546875" style="14" customWidth="1"/>
    <col min="4" max="4" width="26.85546875" style="20" customWidth="1"/>
    <col min="5" max="5" width="14.7109375" style="11" customWidth="1"/>
    <col min="6" max="6" width="7.5703125" style="87" customWidth="1" outlineLevel="1"/>
    <col min="7" max="7" width="6.85546875" style="76" customWidth="1" outlineLevel="1"/>
    <col min="8" max="8" width="10.28515625" style="135" customWidth="1" outlineLevel="1"/>
    <col min="9" max="9" width="8.7109375" style="36" customWidth="1"/>
    <col min="10" max="11" width="10.7109375" style="37" customWidth="1"/>
    <col min="12" max="12" width="11.28515625" style="295" customWidth="1" outlineLevel="1"/>
    <col min="13" max="13" width="8.7109375" style="78" customWidth="1" outlineLevel="1"/>
    <col min="14" max="14" width="12.7109375" style="14" customWidth="1"/>
    <col min="15" max="15" width="1.42578125" style="275" customWidth="1" outlineLevel="1"/>
    <col min="16" max="16" width="1.42578125" style="276" customWidth="1" outlineLevel="1"/>
    <col min="17" max="17" width="9.42578125" style="168" customWidth="1" outlineLevel="1"/>
    <col min="18" max="18" width="10.5703125" style="298" customWidth="1" outlineLevel="1"/>
    <col min="19" max="19" width="9.140625" style="141" customWidth="1" outlineLevel="1"/>
    <col min="20" max="20" width="12.42578125" style="95" customWidth="1"/>
    <col min="21" max="21" width="6.140625" style="126" customWidth="1" outlineLevel="1"/>
    <col min="22" max="22" width="7" style="70" customWidth="1" outlineLevel="1"/>
    <col min="23" max="23" width="22.85546875" style="65" customWidth="1"/>
    <col min="24" max="24" width="13.7109375" style="2" customWidth="1"/>
    <col min="25" max="25" width="13.7109375" style="4" customWidth="1"/>
    <col min="26" max="26" width="6.28515625" style="120" customWidth="1" outlineLevel="1"/>
    <col min="27" max="27" width="13.140625" style="18" customWidth="1" outlineLevel="1"/>
    <col min="28" max="28" width="38.28515625" style="18" customWidth="1" outlineLevel="1"/>
    <col min="29" max="29" width="11.42578125" style="19" customWidth="1"/>
    <col min="30" max="16384" width="11.42578125" style="19"/>
  </cols>
  <sheetData>
    <row r="1" spans="1:28" x14ac:dyDescent="0.25">
      <c r="A1" s="90" t="s">
        <v>619</v>
      </c>
      <c r="F1" s="91"/>
      <c r="G1" s="93"/>
      <c r="I1" s="92"/>
      <c r="J1" s="93"/>
      <c r="K1" s="93"/>
      <c r="L1" s="116"/>
      <c r="M1" s="94"/>
      <c r="S1" s="76"/>
      <c r="V1" s="96"/>
      <c r="W1" s="97"/>
    </row>
    <row r="2" spans="1:28" x14ac:dyDescent="0.25">
      <c r="A2" s="90" t="s">
        <v>550</v>
      </c>
      <c r="B2" s="140"/>
      <c r="D2" s="1"/>
      <c r="F2" s="91"/>
      <c r="G2" s="93"/>
      <c r="I2" s="92"/>
      <c r="J2" s="93"/>
      <c r="K2" s="93"/>
      <c r="L2" s="116"/>
      <c r="M2" s="94"/>
      <c r="P2" s="277"/>
      <c r="Q2" s="338"/>
      <c r="R2" s="299"/>
      <c r="S2" s="291"/>
      <c r="V2" s="96"/>
      <c r="W2" s="97"/>
      <c r="Z2" s="121"/>
    </row>
    <row r="3" spans="1:28" x14ac:dyDescent="0.25">
      <c r="B3" s="199"/>
      <c r="D3" s="1"/>
      <c r="F3" s="91"/>
      <c r="G3" s="93"/>
      <c r="I3" s="92"/>
      <c r="J3" s="93"/>
      <c r="K3" s="93"/>
      <c r="L3" s="116"/>
      <c r="M3" s="100"/>
      <c r="P3" s="277"/>
      <c r="Q3" s="338"/>
      <c r="R3" s="299"/>
      <c r="S3" s="291"/>
      <c r="V3" s="96"/>
      <c r="W3" s="97"/>
      <c r="Z3" s="121"/>
    </row>
    <row r="4" spans="1:28" x14ac:dyDescent="0.25">
      <c r="A4" s="90" t="s">
        <v>796</v>
      </c>
      <c r="B4" s="199">
        <f ca="1">NOW()</f>
        <v>45617.469425347219</v>
      </c>
      <c r="C4" s="199">
        <v>45611</v>
      </c>
      <c r="D4" s="304"/>
      <c r="E4" s="183"/>
      <c r="F4" s="91"/>
      <c r="G4" s="19"/>
      <c r="H4" s="138"/>
      <c r="I4" s="19"/>
      <c r="J4" s="19"/>
      <c r="K4" s="184"/>
      <c r="L4" s="353"/>
      <c r="M4" s="94"/>
      <c r="N4" s="101"/>
      <c r="O4" s="278"/>
      <c r="P4" s="277"/>
      <c r="Q4" s="183"/>
      <c r="R4" s="193"/>
      <c r="S4" s="292"/>
      <c r="V4" s="96"/>
      <c r="W4" s="97"/>
      <c r="Z4" s="121"/>
      <c r="AB4" s="98"/>
    </row>
    <row r="5" spans="1:28" s="3" customFormat="1" x14ac:dyDescent="0.25">
      <c r="A5" s="13" t="s">
        <v>794</v>
      </c>
      <c r="B5" s="103">
        <f>SUM(O:O)</f>
        <v>253604.72220000002</v>
      </c>
      <c r="C5" s="446"/>
      <c r="D5" s="446"/>
      <c r="E5" s="305"/>
      <c r="F5" s="91"/>
      <c r="G5" s="19"/>
      <c r="H5" s="138"/>
      <c r="K5" s="146"/>
      <c r="L5" s="353"/>
      <c r="M5" s="104"/>
      <c r="N5" s="2"/>
      <c r="O5" s="279"/>
      <c r="P5" s="277"/>
      <c r="Q5" s="168"/>
      <c r="R5" s="298"/>
      <c r="S5" s="292"/>
      <c r="T5" s="95"/>
      <c r="U5" s="126"/>
      <c r="V5" s="105"/>
      <c r="W5" s="106"/>
      <c r="X5" s="2"/>
      <c r="Y5" s="4"/>
      <c r="Z5" s="121"/>
      <c r="AA5" s="107"/>
      <c r="AB5" s="107"/>
    </row>
    <row r="6" spans="1:28" s="146" customFormat="1" x14ac:dyDescent="0.25">
      <c r="A6" s="161" t="s">
        <v>795</v>
      </c>
      <c r="B6" s="162">
        <f>B5-SUM(B7:B9)</f>
        <v>219997.52220000001</v>
      </c>
      <c r="C6" s="443"/>
      <c r="D6" s="446"/>
      <c r="E6" s="305"/>
      <c r="F6" s="167"/>
      <c r="G6" s="152"/>
      <c r="H6" s="178"/>
      <c r="L6" s="353"/>
      <c r="M6" s="170"/>
      <c r="N6" s="145"/>
      <c r="O6" s="279"/>
      <c r="P6" s="277"/>
      <c r="Q6" s="168"/>
      <c r="R6" s="298"/>
      <c r="S6" s="292"/>
      <c r="T6" s="168"/>
      <c r="U6" s="175"/>
      <c r="V6" s="171"/>
      <c r="W6" s="172"/>
      <c r="X6" s="145"/>
      <c r="Y6" s="147"/>
      <c r="Z6" s="174"/>
      <c r="AA6" s="173"/>
      <c r="AB6" s="173"/>
    </row>
    <row r="7" spans="1:28" s="57" customFormat="1" x14ac:dyDescent="0.25">
      <c r="A7" s="62" t="s">
        <v>721</v>
      </c>
      <c r="B7" s="63">
        <f>SUMIF(D:D,"Wincasa",O:O)+SUMIF(D:D,"Orllati Real Estate",O:O)</f>
        <v>15023</v>
      </c>
      <c r="C7" s="443"/>
      <c r="D7" s="306"/>
      <c r="E7" s="183"/>
      <c r="F7" s="167"/>
      <c r="G7" s="133"/>
      <c r="H7" s="139"/>
      <c r="L7" s="354"/>
      <c r="M7" s="109"/>
      <c r="N7" s="58"/>
      <c r="O7" s="280"/>
      <c r="P7" s="281"/>
      <c r="Q7" s="339"/>
      <c r="R7" s="300"/>
      <c r="S7" s="293"/>
      <c r="T7" s="59"/>
      <c r="U7" s="127"/>
      <c r="V7" s="71"/>
      <c r="W7" s="66"/>
      <c r="X7" s="58"/>
      <c r="Y7" s="60"/>
      <c r="Z7" s="122"/>
      <c r="AA7" s="61"/>
      <c r="AB7" s="61"/>
    </row>
    <row r="8" spans="1:28" s="57" customFormat="1" x14ac:dyDescent="0.25">
      <c r="A8" s="62" t="s">
        <v>722</v>
      </c>
      <c r="B8" s="63">
        <f>SUMIF(D:D,"Mercedes Financial",O:O)</f>
        <v>1523.55</v>
      </c>
      <c r="C8" s="443"/>
      <c r="D8" s="306"/>
      <c r="E8" s="183"/>
      <c r="F8" s="167"/>
      <c r="G8" s="133"/>
      <c r="H8" s="139"/>
      <c r="L8" s="354"/>
      <c r="M8" s="109"/>
      <c r="N8" s="58"/>
      <c r="O8" s="280"/>
      <c r="P8" s="281"/>
      <c r="Q8" s="339"/>
      <c r="R8" s="300"/>
      <c r="S8" s="293"/>
      <c r="T8" s="59"/>
      <c r="U8" s="127"/>
      <c r="V8" s="71"/>
      <c r="W8" s="66"/>
      <c r="X8" s="58"/>
      <c r="Y8" s="60"/>
      <c r="Z8" s="122"/>
      <c r="AA8" s="61"/>
      <c r="AB8" s="61"/>
    </row>
    <row r="9" spans="1:28" s="57" customFormat="1" x14ac:dyDescent="0.25">
      <c r="A9" s="62" t="s">
        <v>723</v>
      </c>
      <c r="B9" s="64">
        <f>SUMIF(D:D,"OFDF",O:O)</f>
        <v>17060.649999999998</v>
      </c>
      <c r="C9" s="443"/>
      <c r="D9" s="306"/>
      <c r="E9" s="102"/>
      <c r="F9" s="167"/>
      <c r="G9" s="133"/>
      <c r="H9" s="139"/>
      <c r="L9" s="354"/>
      <c r="M9" s="109"/>
      <c r="N9" s="58"/>
      <c r="O9" s="280"/>
      <c r="P9" s="281"/>
      <c r="Q9" s="339"/>
      <c r="R9" s="300"/>
      <c r="S9" s="294"/>
      <c r="T9" s="59"/>
      <c r="U9" s="127"/>
      <c r="V9" s="71"/>
      <c r="W9" s="66"/>
      <c r="X9" s="58"/>
      <c r="Y9" s="60"/>
      <c r="Z9" s="122"/>
      <c r="AA9" s="61"/>
      <c r="AB9" s="61"/>
    </row>
    <row r="10" spans="1:28" s="57" customFormat="1" hidden="1" outlineLevel="1" x14ac:dyDescent="0.25">
      <c r="A10" s="62"/>
      <c r="B10" s="64"/>
      <c r="C10" s="169"/>
      <c r="D10" s="306"/>
      <c r="E10" s="56"/>
      <c r="F10" s="108"/>
      <c r="G10" s="133"/>
      <c r="H10" s="139"/>
      <c r="L10" s="354"/>
      <c r="M10" s="109"/>
      <c r="N10" s="58"/>
      <c r="O10" s="280"/>
      <c r="P10" s="281"/>
      <c r="Q10" s="339"/>
      <c r="R10" s="300"/>
      <c r="S10" s="294"/>
      <c r="T10" s="59"/>
      <c r="U10" s="127"/>
      <c r="V10" s="71"/>
      <c r="W10" s="66"/>
      <c r="X10" s="58"/>
      <c r="Y10" s="60"/>
      <c r="Z10" s="122"/>
      <c r="AA10" s="61"/>
      <c r="AB10" s="61"/>
    </row>
    <row r="11" spans="1:28" s="57" customFormat="1" hidden="1" outlineLevel="1" x14ac:dyDescent="0.25">
      <c r="A11" s="90" t="s">
        <v>793</v>
      </c>
      <c r="B11" s="269">
        <v>45622</v>
      </c>
      <c r="C11" s="199"/>
      <c r="D11" s="306"/>
      <c r="E11" s="56"/>
      <c r="F11" s="108"/>
      <c r="G11" s="133"/>
      <c r="H11" s="139"/>
      <c r="L11" s="354"/>
      <c r="M11" s="109"/>
      <c r="N11" s="58"/>
      <c r="O11" s="280"/>
      <c r="P11" s="281"/>
      <c r="Q11" s="339"/>
      <c r="R11" s="300"/>
      <c r="S11" s="294"/>
      <c r="T11" s="59"/>
      <c r="U11" s="127"/>
      <c r="V11" s="71"/>
      <c r="W11" s="66"/>
      <c r="X11" s="58"/>
      <c r="Y11" s="60"/>
      <c r="Z11" s="122"/>
      <c r="AA11" s="61"/>
      <c r="AB11" s="61"/>
    </row>
    <row r="12" spans="1:28" s="57" customFormat="1" hidden="1" outlineLevel="1" x14ac:dyDescent="0.25">
      <c r="A12" s="13" t="s">
        <v>628</v>
      </c>
      <c r="B12" s="103">
        <f ca="1">SUMIF(O:O,"&gt;0",R:R)</f>
        <v>68494.585599999991</v>
      </c>
      <c r="C12" s="199"/>
      <c r="D12" s="306"/>
      <c r="E12" s="56"/>
      <c r="F12" s="108"/>
      <c r="G12" s="133"/>
      <c r="H12" s="139"/>
      <c r="L12" s="354"/>
      <c r="M12" s="109"/>
      <c r="N12" s="58"/>
      <c r="O12" s="280"/>
      <c r="P12" s="281"/>
      <c r="Q12" s="339"/>
      <c r="R12" s="300"/>
      <c r="S12" s="294"/>
      <c r="T12" s="59"/>
      <c r="U12" s="127"/>
      <c r="V12" s="71"/>
      <c r="W12" s="66"/>
      <c r="X12" s="58"/>
      <c r="Y12" s="60"/>
      <c r="Z12" s="122"/>
      <c r="AA12" s="61"/>
      <c r="AB12" s="61"/>
    </row>
    <row r="13" spans="1:28" s="57" customFormat="1" hidden="1" outlineLevel="1" x14ac:dyDescent="0.25">
      <c r="A13" s="510" t="s">
        <v>1817</v>
      </c>
      <c r="B13" s="510">
        <v>1.02</v>
      </c>
      <c r="C13" s="169"/>
      <c r="D13" s="307"/>
      <c r="E13" s="56"/>
      <c r="F13" s="108"/>
      <c r="G13" s="133"/>
      <c r="H13" s="139"/>
      <c r="L13" s="354"/>
      <c r="M13" s="109"/>
      <c r="N13" s="58"/>
      <c r="O13" s="280"/>
      <c r="P13" s="281"/>
      <c r="Q13" s="339"/>
      <c r="R13" s="300"/>
      <c r="S13" s="294"/>
      <c r="T13" s="59"/>
      <c r="U13" s="127"/>
      <c r="V13" s="71"/>
      <c r="W13" s="66"/>
      <c r="X13" s="58"/>
      <c r="Y13" s="60"/>
      <c r="Z13" s="122"/>
      <c r="AA13" s="61"/>
      <c r="AB13" s="61"/>
    </row>
    <row r="14" spans="1:28" s="57" customFormat="1" collapsed="1" x14ac:dyDescent="0.25">
      <c r="C14" s="169"/>
      <c r="D14" s="64"/>
      <c r="E14" s="56"/>
      <c r="F14" s="108"/>
      <c r="G14" s="133"/>
      <c r="H14" s="139"/>
      <c r="L14" s="354"/>
      <c r="M14" s="109"/>
      <c r="N14" s="58"/>
      <c r="O14" s="280"/>
      <c r="P14" s="281"/>
      <c r="Q14" s="339"/>
      <c r="R14" s="300"/>
      <c r="S14" s="294"/>
      <c r="T14" s="59"/>
      <c r="U14" s="127"/>
      <c r="V14" s="71"/>
      <c r="W14" s="66"/>
      <c r="X14" s="58"/>
      <c r="Y14" s="60"/>
      <c r="Z14" s="122"/>
      <c r="AA14" s="61"/>
      <c r="AB14" s="61"/>
    </row>
    <row r="15" spans="1:28" outlineLevel="1" x14ac:dyDescent="0.25">
      <c r="A15" s="13" t="s">
        <v>654</v>
      </c>
      <c r="B15" s="508">
        <v>45622</v>
      </c>
      <c r="C15" s="114"/>
      <c r="D15" s="162"/>
      <c r="F15" s="111"/>
      <c r="G15" s="19"/>
      <c r="H15" s="138"/>
      <c r="I15" s="19"/>
      <c r="J15" s="19"/>
      <c r="K15" s="184"/>
      <c r="L15" s="112"/>
      <c r="M15" s="112"/>
      <c r="N15" s="113"/>
      <c r="O15" s="278"/>
      <c r="P15" s="275"/>
      <c r="Q15" s="304"/>
      <c r="S15" s="295"/>
      <c r="T15" s="19"/>
      <c r="V15" s="96"/>
      <c r="W15" s="113"/>
      <c r="X15" s="99"/>
      <c r="Y15" s="18"/>
      <c r="Z15" s="123"/>
      <c r="AA15" s="3"/>
      <c r="AB15" s="3"/>
    </row>
    <row r="16" spans="1:28" outlineLevel="1" x14ac:dyDescent="0.25">
      <c r="A16" s="90" t="s">
        <v>655</v>
      </c>
      <c r="B16" s="115">
        <f>SUMIF(S:S,"oui",T:T)</f>
        <v>42967.795599999998</v>
      </c>
      <c r="D16" s="404"/>
      <c r="F16" s="91"/>
      <c r="G16" s="93"/>
      <c r="I16" s="92"/>
      <c r="J16" s="93"/>
      <c r="K16" s="93"/>
      <c r="L16" s="116"/>
      <c r="M16" s="94"/>
      <c r="P16" s="275"/>
      <c r="Q16" s="304"/>
      <c r="S16" s="296"/>
      <c r="V16" s="96"/>
      <c r="W16" s="97"/>
    </row>
    <row r="17" spans="1:35" outlineLevel="1" x14ac:dyDescent="0.25">
      <c r="A17" s="62" t="s">
        <v>724</v>
      </c>
      <c r="B17" s="63">
        <f>B16-(B18*B13+B19*B13)</f>
        <v>11066.5</v>
      </c>
      <c r="C17" s="115"/>
      <c r="D17" s="224"/>
      <c r="F17" s="91"/>
      <c r="G17" s="93"/>
      <c r="I17" s="92"/>
      <c r="J17" s="93"/>
      <c r="K17" s="93"/>
      <c r="L17" s="116"/>
      <c r="M17" s="94"/>
      <c r="P17" s="275"/>
      <c r="Q17" s="304"/>
      <c r="S17" s="296"/>
      <c r="V17" s="96"/>
      <c r="W17" s="97"/>
    </row>
    <row r="18" spans="1:35" outlineLevel="1" x14ac:dyDescent="0.25">
      <c r="A18" s="62" t="s">
        <v>725</v>
      </c>
      <c r="B18" s="63">
        <f>SUMIF(S:S,"oui",J:J)</f>
        <v>31275.78</v>
      </c>
      <c r="C18" s="162"/>
      <c r="D18" s="144"/>
      <c r="F18" s="91"/>
      <c r="G18" s="93"/>
      <c r="I18" s="92"/>
      <c r="J18" s="93"/>
      <c r="K18" s="93"/>
      <c r="L18" s="116"/>
      <c r="M18" s="94"/>
      <c r="P18" s="275"/>
      <c r="Q18" s="304"/>
      <c r="S18" s="296"/>
      <c r="V18" s="96"/>
      <c r="W18" s="97"/>
    </row>
    <row r="19" spans="1:35" s="184" customFormat="1" outlineLevel="1" x14ac:dyDescent="0.25">
      <c r="A19" s="161" t="s">
        <v>804</v>
      </c>
      <c r="B19" s="162">
        <f>SUMIF(S:S,"oui",K:K)</f>
        <v>0</v>
      </c>
      <c r="C19" s="162"/>
      <c r="D19" s="270"/>
      <c r="E19" s="183"/>
      <c r="F19" s="167"/>
      <c r="G19" s="93"/>
      <c r="H19" s="135"/>
      <c r="I19" s="92"/>
      <c r="J19" s="93"/>
      <c r="K19" s="93"/>
      <c r="L19" s="116"/>
      <c r="M19" s="94"/>
      <c r="N19" s="14"/>
      <c r="O19" s="275"/>
      <c r="P19" s="275"/>
      <c r="Q19" s="304"/>
      <c r="R19" s="298"/>
      <c r="S19" s="296"/>
      <c r="T19" s="168"/>
      <c r="U19" s="175"/>
      <c r="V19" s="96"/>
      <c r="W19" s="97"/>
      <c r="X19" s="145"/>
      <c r="Y19" s="147"/>
      <c r="Z19" s="120"/>
      <c r="AA19" s="18"/>
      <c r="AB19" s="18"/>
    </row>
    <row r="20" spans="1:35" x14ac:dyDescent="0.25">
      <c r="A20" s="197"/>
      <c r="B20" s="198"/>
      <c r="C20" s="19"/>
      <c r="D20" s="110"/>
      <c r="F20" s="111"/>
      <c r="G20" s="93"/>
      <c r="I20" s="116"/>
      <c r="J20" s="117"/>
      <c r="K20" s="117"/>
      <c r="L20" s="112"/>
      <c r="M20" s="112"/>
      <c r="N20" s="113"/>
      <c r="O20" s="283"/>
      <c r="P20" s="283"/>
      <c r="Q20" s="118"/>
      <c r="R20" s="301"/>
      <c r="S20" s="295"/>
      <c r="V20" s="96"/>
      <c r="W20" s="113"/>
      <c r="X20" s="99"/>
      <c r="Y20" s="18"/>
      <c r="Z20" s="123"/>
      <c r="AA20" s="3"/>
      <c r="AB20" s="3"/>
    </row>
    <row r="21" spans="1:35" s="34" customFormat="1" ht="57" customHeight="1" x14ac:dyDescent="0.25">
      <c r="A21" s="35" t="s">
        <v>621</v>
      </c>
      <c r="B21" s="16" t="s">
        <v>579</v>
      </c>
      <c r="C21" s="29" t="s">
        <v>622</v>
      </c>
      <c r="D21" s="30" t="s">
        <v>267</v>
      </c>
      <c r="E21" s="29" t="s">
        <v>629</v>
      </c>
      <c r="F21" s="31" t="s">
        <v>623</v>
      </c>
      <c r="G21" s="77" t="s">
        <v>705</v>
      </c>
      <c r="H21" s="134" t="s">
        <v>797</v>
      </c>
      <c r="I21" s="303" t="s">
        <v>618</v>
      </c>
      <c r="J21" s="77" t="s">
        <v>805</v>
      </c>
      <c r="K21" s="77" t="s">
        <v>806</v>
      </c>
      <c r="L21" s="355" t="s">
        <v>617</v>
      </c>
      <c r="M21" s="79" t="s">
        <v>675</v>
      </c>
      <c r="N21" s="29" t="s">
        <v>616</v>
      </c>
      <c r="O21" s="284" t="s">
        <v>627</v>
      </c>
      <c r="P21" s="285" t="s">
        <v>633</v>
      </c>
      <c r="Q21" s="290" t="s">
        <v>626</v>
      </c>
      <c r="R21" s="77" t="s">
        <v>792</v>
      </c>
      <c r="S21" s="77" t="s">
        <v>625</v>
      </c>
      <c r="T21" s="29" t="s">
        <v>658</v>
      </c>
      <c r="U21" s="17" t="s">
        <v>1140</v>
      </c>
      <c r="V21" s="72" t="s">
        <v>1139</v>
      </c>
      <c r="W21" s="67" t="s">
        <v>743</v>
      </c>
      <c r="X21" s="29" t="s">
        <v>630</v>
      </c>
      <c r="Y21" s="32" t="s">
        <v>624</v>
      </c>
      <c r="Z21" s="124" t="s">
        <v>105</v>
      </c>
      <c r="AA21" s="12" t="s">
        <v>631</v>
      </c>
      <c r="AB21" s="33" t="s">
        <v>620</v>
      </c>
    </row>
    <row r="22" spans="1:35" hidden="1" x14ac:dyDescent="0.25">
      <c r="A22" s="13">
        <v>1245742</v>
      </c>
      <c r="B22" s="14">
        <v>45292</v>
      </c>
      <c r="C22" s="14">
        <v>45292</v>
      </c>
      <c r="D22" s="20" t="s">
        <v>2</v>
      </c>
      <c r="E22" s="11">
        <v>1523.55</v>
      </c>
      <c r="F22" s="87">
        <v>8.1</v>
      </c>
      <c r="H22" s="135">
        <f>Tableau3384[[#This Row],[Montant
CHF]]+Tableau3384[[#This Row],[Abzug/Spesen
CHF]]</f>
        <v>1523.55</v>
      </c>
      <c r="N22" s="14">
        <v>45292</v>
      </c>
      <c r="O22" s="275" t="str">
        <f>IF(Tableau3384[[#This Row],[Date du paiement]]&gt;0,"",Tableau3384[[#This Row],[Montant
CHF]])</f>
        <v/>
      </c>
      <c r="P22" s="276" t="str">
        <f>IF(Tableau3384[[#This Row],[Date du paiement]]="",$B$4-Tableau3384[[#This Row],[Écheance]],"")</f>
        <v/>
      </c>
      <c r="Q22" s="168" t="str">
        <f>IF(Tableau3384[[#This Row],[Date du paiement]]="",IF(Tableau3384[[#This Row],[jours jusqu''à l''écheance]]&gt;0,Tableau3384[[#This Row],[Montant
CHF]],""),"")</f>
        <v/>
      </c>
      <c r="R22" s="298" t="str">
        <f>IF(Tableau3384[[#This Row],[Date du paiement]]="",IF(Tableau3384[[#This Row],[jours jusqu''à l''écheance]]-($B$4-$B$11-1)&gt;0,Tableau3384[[#This Row],[Montant
CHF]],""),"")</f>
        <v/>
      </c>
      <c r="T22" s="95" t="str">
        <f>IF(Tableau3384[[#This Row],[Paiements prevus]]="oui",Tableau3384[[#This Row],[Montant prevu à payer CH]],"")</f>
        <v/>
      </c>
      <c r="U22" s="128"/>
      <c r="X22" s="2">
        <v>45295</v>
      </c>
      <c r="Y22" s="7" t="s">
        <v>58</v>
      </c>
      <c r="Z22" s="120" t="str">
        <f>IF(Tableau3384[[#This Row],[Méthode du paiement]]="Mastercard","OUI","")</f>
        <v/>
      </c>
      <c r="AA22" s="18" t="s">
        <v>1431</v>
      </c>
      <c r="AB22" s="18" t="s">
        <v>8</v>
      </c>
    </row>
    <row r="23" spans="1:35" hidden="1" x14ac:dyDescent="0.25">
      <c r="A23" s="13">
        <v>214112</v>
      </c>
      <c r="B23" s="14">
        <v>45292</v>
      </c>
      <c r="C23" s="14">
        <v>45292</v>
      </c>
      <c r="D23" s="20" t="s">
        <v>7</v>
      </c>
      <c r="E23" s="11">
        <v>11516</v>
      </c>
      <c r="F23" s="87">
        <v>0</v>
      </c>
      <c r="H23" s="135">
        <f>Tableau3384[[#This Row],[Montant
CHF]]+Tableau3384[[#This Row],[Abzug/Spesen
CHF]]</f>
        <v>11516</v>
      </c>
      <c r="N23" s="14">
        <v>45292</v>
      </c>
      <c r="O23" s="275" t="str">
        <f>IF(Tableau3384[[#This Row],[Date du paiement]]&gt;0,"",Tableau3384[[#This Row],[Montant
CHF]])</f>
        <v/>
      </c>
      <c r="P23" s="276" t="str">
        <f>IF(Tableau3384[[#This Row],[Date du paiement]]="",$B$4-Tableau3384[[#This Row],[Écheance]],"")</f>
        <v/>
      </c>
      <c r="Q23" s="168" t="str">
        <f>IF(Tableau3384[[#This Row],[Date du paiement]]="",IF(Tableau3384[[#This Row],[jours jusqu''à l''écheance]]&gt;0,Tableau3384[[#This Row],[Montant
CHF]],""),"")</f>
        <v/>
      </c>
      <c r="R23" s="298" t="str">
        <f>IF(Tableau3384[[#This Row],[Date du paiement]]="",IF(Tableau3384[[#This Row],[jours jusqu''à l''écheance]]-($B$4-$B$11-1)&gt;0,Tableau3384[[#This Row],[Montant
CHF]],""),"")</f>
        <v/>
      </c>
      <c r="T23" s="95" t="str">
        <f>IF(Tableau3384[[#This Row],[Paiements prevus]]="oui",Tableau3384[[#This Row],[Montant prevu à payer CH]],"")</f>
        <v/>
      </c>
      <c r="U23" s="128"/>
      <c r="X23" s="2">
        <v>45307</v>
      </c>
      <c r="Y23" s="24" t="s">
        <v>58</v>
      </c>
      <c r="Z23" s="120" t="str">
        <f>IF(Tableau3384[[#This Row],[Méthode du paiement]]="Mastercard","OUI","")</f>
        <v/>
      </c>
      <c r="AA23" s="18" t="s">
        <v>6</v>
      </c>
      <c r="AB23" s="18" t="s">
        <v>8</v>
      </c>
      <c r="AC23" s="5"/>
      <c r="AD23" s="5"/>
      <c r="AE23" s="5"/>
      <c r="AF23" s="5"/>
      <c r="AG23" s="5"/>
      <c r="AH23" s="5"/>
      <c r="AI23" s="5"/>
    </row>
    <row r="24" spans="1:35" hidden="1" x14ac:dyDescent="0.25">
      <c r="A24" s="13" t="s">
        <v>632</v>
      </c>
      <c r="B24" s="14">
        <v>45292</v>
      </c>
      <c r="C24" s="14">
        <v>45292</v>
      </c>
      <c r="D24" s="20" t="s">
        <v>3</v>
      </c>
      <c r="E24" s="11">
        <v>3438</v>
      </c>
      <c r="F24" s="87">
        <v>0</v>
      </c>
      <c r="H24" s="135">
        <f>Tableau3384[[#This Row],[Montant
CHF]]+Tableau3384[[#This Row],[Abzug/Spesen
CHF]]</f>
        <v>3438</v>
      </c>
      <c r="N24" s="14">
        <v>45292</v>
      </c>
      <c r="O24" s="275" t="str">
        <f>IF(Tableau3384[[#This Row],[Date du paiement]]&gt;0,"",Tableau3384[[#This Row],[Montant
CHF]])</f>
        <v/>
      </c>
      <c r="P24" s="276" t="str">
        <f>IF(Tableau3384[[#This Row],[Date du paiement]]="",$B$4-Tableau3384[[#This Row],[Écheance]],"")</f>
        <v/>
      </c>
      <c r="Q24" s="168" t="str">
        <f>IF(Tableau3384[[#This Row],[Date du paiement]]="",IF(Tableau3384[[#This Row],[jours jusqu''à l''écheance]]&gt;0,Tableau3384[[#This Row],[Montant
CHF]],""),"")</f>
        <v/>
      </c>
      <c r="R24" s="298" t="str">
        <f>IF(Tableau3384[[#This Row],[Date du paiement]]="",IF(Tableau3384[[#This Row],[jours jusqu''à l''écheance]]-($B$4-$B$11-1)&gt;0,Tableau3384[[#This Row],[Montant
CHF]],""),"")</f>
        <v/>
      </c>
      <c r="T24" s="95" t="str">
        <f>IF(Tableau3384[[#This Row],[Paiements prevus]]="oui",Tableau3384[[#This Row],[Montant prevu à payer CH]],"")</f>
        <v/>
      </c>
      <c r="U24" s="128"/>
      <c r="X24" s="145">
        <v>45359</v>
      </c>
      <c r="Y24" s="24" t="s">
        <v>58</v>
      </c>
      <c r="Z24" s="120" t="str">
        <f>IF(Tableau3384[[#This Row],[Méthode du paiement]]="Mastercard","OUI","")</f>
        <v/>
      </c>
      <c r="AA24" s="18" t="s">
        <v>6</v>
      </c>
      <c r="AB24" s="18" t="s">
        <v>8</v>
      </c>
      <c r="AC24" s="5"/>
      <c r="AD24" s="5"/>
      <c r="AE24" s="5"/>
      <c r="AF24" s="5"/>
      <c r="AG24" s="5"/>
      <c r="AH24" s="5"/>
      <c r="AI24" s="5"/>
    </row>
    <row r="25" spans="1:35" hidden="1" x14ac:dyDescent="0.25">
      <c r="A25" s="9" t="s">
        <v>16</v>
      </c>
      <c r="B25" s="21">
        <v>45292</v>
      </c>
      <c r="C25" s="21">
        <v>45299</v>
      </c>
      <c r="D25" s="22" t="s">
        <v>18</v>
      </c>
      <c r="E25" s="11">
        <v>4262.3500000000004</v>
      </c>
      <c r="F25" s="88">
        <v>0</v>
      </c>
      <c r="G25" s="80"/>
      <c r="H25" s="136">
        <f>Tableau3384[[#This Row],[Montant
CHF]]+Tableau3384[[#This Row],[Abzug/Spesen
CHF]]</f>
        <v>4262.3500000000004</v>
      </c>
      <c r="I25" s="39"/>
      <c r="J25" s="40"/>
      <c r="K25" s="189"/>
      <c r="L25" s="298"/>
      <c r="M25" s="81">
        <v>45282</v>
      </c>
      <c r="N25" s="21">
        <v>45312</v>
      </c>
      <c r="O25" s="282" t="str">
        <f>IF(Tableau3384[[#This Row],[Date du paiement]]&gt;0,"",Tableau3384[[#This Row],[Montant
CHF]])</f>
        <v/>
      </c>
      <c r="P25" s="276" t="str">
        <f>IF(Tableau3384[[#This Row],[Date du paiement]]="",$B$4-Tableau3384[[#This Row],[Écheance]],"")</f>
        <v/>
      </c>
      <c r="Q25" s="168" t="str">
        <f>IF(Tableau3384[[#This Row],[Date du paiement]]="",IF(Tableau3384[[#This Row],[jours jusqu''à l''écheance]]&gt;0,Tableau3384[[#This Row],[Montant
CHF]],""),"")</f>
        <v/>
      </c>
      <c r="R25" s="298" t="str">
        <f>IF(Tableau3384[[#This Row],[Date du paiement]]="",IF(Tableau3384[[#This Row],[jours jusqu''à l''écheance]]-($B$4-$B$11-1)&gt;0,Tableau3384[[#This Row],[Montant
CHF]],""),"")</f>
        <v/>
      </c>
      <c r="S25" s="142"/>
      <c r="T25" s="95" t="str">
        <f>IF(Tableau3384[[#This Row],[Paiements prevus]]="oui",Tableau3384[[#This Row],[Montant prevu à payer CH]],"")</f>
        <v/>
      </c>
      <c r="U25" s="129"/>
      <c r="V25" s="73"/>
      <c r="W25" s="68"/>
      <c r="X25" s="23">
        <v>45327</v>
      </c>
      <c r="Y25" s="7" t="s">
        <v>58</v>
      </c>
      <c r="Z25" s="120" t="str">
        <f>IF(Tableau3384[[#This Row],[Méthode du paiement]]="Mastercard","OUI","")</f>
        <v/>
      </c>
      <c r="AA25" s="180" t="s">
        <v>4</v>
      </c>
      <c r="AB25" s="6" t="s">
        <v>19</v>
      </c>
      <c r="AC25" s="5"/>
      <c r="AD25" s="5"/>
      <c r="AE25" s="5"/>
      <c r="AF25" s="5"/>
      <c r="AG25" s="5"/>
      <c r="AH25" s="5"/>
      <c r="AI25" s="5"/>
    </row>
    <row r="26" spans="1:35" hidden="1" x14ac:dyDescent="0.25">
      <c r="A26" s="9" t="s">
        <v>32</v>
      </c>
      <c r="B26" s="21">
        <v>45292</v>
      </c>
      <c r="C26" s="21">
        <v>45299</v>
      </c>
      <c r="D26" s="22" t="s">
        <v>29</v>
      </c>
      <c r="E26" s="11">
        <v>79.150000000000006</v>
      </c>
      <c r="F26" s="88">
        <v>8.1</v>
      </c>
      <c r="G26" s="80"/>
      <c r="H26" s="136">
        <f>Tableau3384[[#This Row],[Montant
CHF]]+Tableau3384[[#This Row],[Abzug/Spesen
CHF]]</f>
        <v>79.150000000000006</v>
      </c>
      <c r="I26" s="39"/>
      <c r="J26" s="40"/>
      <c r="K26" s="189"/>
      <c r="L26" s="298"/>
      <c r="M26" s="81"/>
      <c r="N26" s="21">
        <v>45301</v>
      </c>
      <c r="O26" s="282" t="str">
        <f>IF(Tableau3384[[#This Row],[Date du paiement]]&gt;0,"",Tableau3384[[#This Row],[Montant
CHF]])</f>
        <v/>
      </c>
      <c r="P26" s="276" t="str">
        <f>IF(Tableau3384[[#This Row],[Date du paiement]]="",$B$4-Tableau3384[[#This Row],[Écheance]],"")</f>
        <v/>
      </c>
      <c r="Q26" s="168" t="str">
        <f>IF(Tableau3384[[#This Row],[Date du paiement]]="",IF(Tableau3384[[#This Row],[jours jusqu''à l''écheance]]&gt;0,Tableau3384[[#This Row],[Montant
CHF]],""),"")</f>
        <v/>
      </c>
      <c r="R26" s="298" t="str">
        <f>IF(Tableau3384[[#This Row],[Date du paiement]]="",IF(Tableau3384[[#This Row],[jours jusqu''à l''écheance]]-($B$4-$B$11-1)&gt;0,Tableau3384[[#This Row],[Montant
CHF]],""),"")</f>
        <v/>
      </c>
      <c r="S26" s="142"/>
      <c r="T26" s="95" t="str">
        <f>IF(Tableau3384[[#This Row],[Paiements prevus]]="oui",Tableau3384[[#This Row],[Montant prevu à payer CH]],"")</f>
        <v/>
      </c>
      <c r="U26" s="129"/>
      <c r="V26" s="73"/>
      <c r="W26" s="68"/>
      <c r="X26" s="23">
        <v>45330</v>
      </c>
      <c r="Y26" s="7" t="s">
        <v>58</v>
      </c>
      <c r="Z26" s="120" t="str">
        <f>IF(Tableau3384[[#This Row],[Méthode du paiement]]="Mastercard","OUI","")</f>
        <v/>
      </c>
      <c r="AA26" s="6" t="s">
        <v>30</v>
      </c>
      <c r="AB26" s="6" t="s">
        <v>33</v>
      </c>
    </row>
    <row r="27" spans="1:35" hidden="1" x14ac:dyDescent="0.25">
      <c r="A27" s="182" t="s">
        <v>45</v>
      </c>
      <c r="B27" s="21">
        <v>45292</v>
      </c>
      <c r="C27" s="21">
        <v>45299</v>
      </c>
      <c r="D27" s="22" t="s">
        <v>46</v>
      </c>
      <c r="E27" s="11">
        <v>597.79</v>
      </c>
      <c r="F27" s="88">
        <v>8.1</v>
      </c>
      <c r="G27" s="80"/>
      <c r="H27" s="136">
        <f>Tableau3384[[#This Row],[Montant
CHF]]+Tableau3384[[#This Row],[Abzug/Spesen
CHF]]</f>
        <v>597.79</v>
      </c>
      <c r="I27" s="39"/>
      <c r="J27" s="40"/>
      <c r="K27" s="189"/>
      <c r="L27" s="298"/>
      <c r="M27" s="81"/>
      <c r="N27" s="21">
        <v>45322</v>
      </c>
      <c r="O27" s="282" t="str">
        <f>IF(Tableau3384[[#This Row],[Date du paiement]]&gt;0,"",Tableau3384[[#This Row],[Montant
CHF]])</f>
        <v/>
      </c>
      <c r="P27" s="276" t="str">
        <f>IF(Tableau3384[[#This Row],[Date du paiement]]="",$B$4-Tableau3384[[#This Row],[Écheance]],"")</f>
        <v/>
      </c>
      <c r="Q27" s="168" t="str">
        <f>IF(Tableau3384[[#This Row],[Date du paiement]]="",IF(Tableau3384[[#This Row],[jours jusqu''à l''écheance]]&gt;0,Tableau3384[[#This Row],[Montant
CHF]],""),"")</f>
        <v/>
      </c>
      <c r="R27" s="298" t="str">
        <f>IF(Tableau3384[[#This Row],[Date du paiement]]="",IF(Tableau3384[[#This Row],[jours jusqu''à l''écheance]]-($B$4-$B$11-1)&gt;0,Tableau3384[[#This Row],[Montant
CHF]],""),"")</f>
        <v/>
      </c>
      <c r="S27" s="142"/>
      <c r="T27" s="95" t="str">
        <f>IF(Tableau3384[[#This Row],[Paiements prevus]]="oui",Tableau3384[[#This Row],[Montant prevu à payer CH]],"")</f>
        <v/>
      </c>
      <c r="U27" s="129"/>
      <c r="V27" s="73"/>
      <c r="W27" s="68"/>
      <c r="X27" s="23">
        <v>45330</v>
      </c>
      <c r="Y27" s="7" t="s">
        <v>58</v>
      </c>
      <c r="Z27" s="120" t="str">
        <f>IF(Tableau3384[[#This Row],[Méthode du paiement]]="Mastercard","OUI","")</f>
        <v/>
      </c>
      <c r="AA27" s="6" t="s">
        <v>30</v>
      </c>
      <c r="AB27" s="6" t="s">
        <v>8</v>
      </c>
    </row>
    <row r="28" spans="1:35" hidden="1" x14ac:dyDescent="0.25">
      <c r="A28" s="9" t="s">
        <v>129</v>
      </c>
      <c r="B28" s="21">
        <v>45292</v>
      </c>
      <c r="C28" s="21">
        <v>45310</v>
      </c>
      <c r="D28" s="22" t="s">
        <v>87</v>
      </c>
      <c r="E28" s="11">
        <v>3183.4</v>
      </c>
      <c r="F28" s="88">
        <v>0</v>
      </c>
      <c r="G28" s="80"/>
      <c r="H28" s="136">
        <f>Tableau3384[[#This Row],[Montant
CHF]]+Tableau3384[[#This Row],[Abzug/Spesen
CHF]]</f>
        <v>3183.4</v>
      </c>
      <c r="I28" s="39"/>
      <c r="J28" s="40"/>
      <c r="K28" s="189"/>
      <c r="L28" s="298"/>
      <c r="M28" s="81"/>
      <c r="N28" s="21">
        <v>45332</v>
      </c>
      <c r="O28" s="282" t="str">
        <f>IF(Tableau3384[[#This Row],[Date du paiement]]&gt;0,"",Tableau3384[[#This Row],[Montant
CHF]])</f>
        <v/>
      </c>
      <c r="P28" s="276" t="str">
        <f>IF(Tableau3384[[#This Row],[Date du paiement]]="",$B$4-Tableau3384[[#This Row],[Écheance]],"")</f>
        <v/>
      </c>
      <c r="Q28" s="168" t="str">
        <f>IF(Tableau3384[[#This Row],[Date du paiement]]="",IF(Tableau3384[[#This Row],[jours jusqu''à l''écheance]]&gt;0,Tableau3384[[#This Row],[Montant
CHF]],""),"")</f>
        <v/>
      </c>
      <c r="R28" s="298" t="str">
        <f>IF(Tableau3384[[#This Row],[Date du paiement]]="",IF(Tableau3384[[#This Row],[jours jusqu''à l''écheance]]-($B$4-$B$11-1)&gt;0,Tableau3384[[#This Row],[Montant
CHF]],""),"")</f>
        <v/>
      </c>
      <c r="S28" s="142"/>
      <c r="T28" s="95" t="str">
        <f>IF(Tableau3384[[#This Row],[Paiements prevus]]="oui",Tableau3384[[#This Row],[Montant prevu à payer CH]],"")</f>
        <v/>
      </c>
      <c r="U28" s="129"/>
      <c r="V28" s="73"/>
      <c r="W28" s="68"/>
      <c r="X28" s="23">
        <v>45338</v>
      </c>
      <c r="Y28" s="7" t="s">
        <v>58</v>
      </c>
      <c r="Z28" s="120" t="str">
        <f>IF(Tableau3384[[#This Row],[Méthode du paiement]]="Mastercard","OUI","")</f>
        <v/>
      </c>
      <c r="AA28" s="6" t="s">
        <v>4</v>
      </c>
      <c r="AB28" s="6" t="s">
        <v>8</v>
      </c>
    </row>
    <row r="29" spans="1:35" hidden="1" x14ac:dyDescent="0.25">
      <c r="A29" s="182" t="s">
        <v>131</v>
      </c>
      <c r="B29" s="185">
        <v>45292</v>
      </c>
      <c r="C29" s="185">
        <v>45343</v>
      </c>
      <c r="D29" s="186" t="s">
        <v>130</v>
      </c>
      <c r="E29" s="11">
        <v>70.25</v>
      </c>
      <c r="F29" s="195">
        <v>8.1</v>
      </c>
      <c r="G29" s="193"/>
      <c r="H29" s="136">
        <f>Tableau3384[[#This Row],[Montant
CHF]]+Tableau3384[[#This Row],[Abzug/Spesen
CHF]]</f>
        <v>70.25</v>
      </c>
      <c r="I29" s="188"/>
      <c r="J29" s="189"/>
      <c r="K29" s="189"/>
      <c r="L29" s="298"/>
      <c r="M29" s="194"/>
      <c r="N29" s="185">
        <v>45321</v>
      </c>
      <c r="O29" s="282" t="str">
        <f>IF(Tableau3384[[#This Row],[Date du paiement]]&gt;0,"",Tableau3384[[#This Row],[Montant
CHF]])</f>
        <v/>
      </c>
      <c r="P29" s="276" t="str">
        <f>IF(Tableau3384[[#This Row],[Date du paiement]]="",$B$4-Tableau3384[[#This Row],[Écheance]],"")</f>
        <v/>
      </c>
      <c r="Q29" s="168" t="str">
        <f>IF(Tableau3384[[#This Row],[Date du paiement]]="",IF(Tableau3384[[#This Row],[jours jusqu''à l''écheance]]&gt;0,Tableau3384[[#This Row],[Montant
CHF]],""),"")</f>
        <v/>
      </c>
      <c r="R29" s="298" t="str">
        <f>IF(Tableau3384[[#This Row],[Date du paiement]]="",IF(Tableau3384[[#This Row],[jours jusqu''à l''écheance]]-($B$4-$B$11-1)&gt;0,Tableau3384[[#This Row],[Montant
CHF]],""),"")</f>
        <v/>
      </c>
      <c r="S29" s="142"/>
      <c r="T29" s="95" t="str">
        <f>IF(Tableau3384[[#This Row],[Paiements prevus]]="oui",Tableau3384[[#This Row],[Montant prevu à payer CH]],"")</f>
        <v/>
      </c>
      <c r="U29" s="176"/>
      <c r="V29" s="192"/>
      <c r="W29" s="190"/>
      <c r="X29" s="187">
        <v>45343</v>
      </c>
      <c r="Y29" s="181" t="s">
        <v>58</v>
      </c>
      <c r="Z29" s="120" t="str">
        <f>IF(Tableau3384[[#This Row],[Méthode du paiement]]="Mastercard","OUI","")</f>
        <v/>
      </c>
      <c r="AA29" s="180" t="s">
        <v>30</v>
      </c>
      <c r="AB29" s="180" t="s">
        <v>40</v>
      </c>
    </row>
    <row r="30" spans="1:35" hidden="1" x14ac:dyDescent="0.25">
      <c r="A30" s="182" t="s">
        <v>278</v>
      </c>
      <c r="B30" s="21">
        <v>45292</v>
      </c>
      <c r="C30" s="21">
        <v>45363</v>
      </c>
      <c r="D30" s="22" t="s">
        <v>279</v>
      </c>
      <c r="E30" s="11">
        <v>5000</v>
      </c>
      <c r="F30" s="88">
        <v>0</v>
      </c>
      <c r="G30" s="80"/>
      <c r="H30" s="136">
        <f>Tableau3384[[#This Row],[Montant
CHF]]+Tableau3384[[#This Row],[Abzug/Spesen
CHF]]</f>
        <v>5000</v>
      </c>
      <c r="I30" s="39"/>
      <c r="J30" s="40"/>
      <c r="K30" s="189"/>
      <c r="L30" s="298"/>
      <c r="M30" s="81"/>
      <c r="N30" s="21">
        <v>45321</v>
      </c>
      <c r="O30" s="282" t="str">
        <f>IF(Tableau3384[[#This Row],[Date du paiement]]&gt;0,"",Tableau3384[[#This Row],[Montant
CHF]])</f>
        <v/>
      </c>
      <c r="P30" s="276" t="str">
        <f>IF(Tableau3384[[#This Row],[Date du paiement]]="",$B$4-Tableau3384[[#This Row],[Écheance]],"")</f>
        <v/>
      </c>
      <c r="Q30" s="168" t="str">
        <f>IF(Tableau3384[[#This Row],[Date du paiement]]="",IF(Tableau3384[[#This Row],[jours jusqu''à l''écheance]]&gt;0,Tableau3384[[#This Row],[Montant
CHF]],""),"")</f>
        <v/>
      </c>
      <c r="R30" s="298" t="str">
        <f>IF(Tableau3384[[#This Row],[Date du paiement]]="",IF(Tableau3384[[#This Row],[jours jusqu''à l''écheance]]-($B$4-$B$11-1)&gt;0,Tableau3384[[#This Row],[Montant
CHF]],""),"")</f>
        <v/>
      </c>
      <c r="S30" s="142"/>
      <c r="T30" s="95" t="str">
        <f>IF(Tableau3384[[#This Row],[Paiements prevus]]="oui",Tableau3384[[#This Row],[Montant prevu à payer CH]],"")</f>
        <v/>
      </c>
      <c r="U30" s="129"/>
      <c r="V30" s="73"/>
      <c r="W30" s="68"/>
      <c r="X30" s="23">
        <v>45379</v>
      </c>
      <c r="Y30" s="7" t="s">
        <v>58</v>
      </c>
      <c r="Z30" s="120" t="str">
        <f>IF(Tableau3384[[#This Row],[Méthode du paiement]]="Mastercard","OUI","")</f>
        <v/>
      </c>
      <c r="AA30" s="6" t="s">
        <v>332</v>
      </c>
      <c r="AB30" s="6" t="s">
        <v>282</v>
      </c>
    </row>
    <row r="31" spans="1:35" hidden="1" x14ac:dyDescent="0.25">
      <c r="A31" s="9" t="s">
        <v>47</v>
      </c>
      <c r="B31" s="21">
        <v>45294</v>
      </c>
      <c r="C31" s="21">
        <v>45299</v>
      </c>
      <c r="D31" s="22" t="s">
        <v>48</v>
      </c>
      <c r="E31" s="11">
        <v>59.05</v>
      </c>
      <c r="F31" s="88">
        <v>8.1</v>
      </c>
      <c r="G31" s="80"/>
      <c r="H31" s="136">
        <f>Tableau3384[[#This Row],[Montant
CHF]]+Tableau3384[[#This Row],[Abzug/Spesen
CHF]]</f>
        <v>59.05</v>
      </c>
      <c r="I31" s="39"/>
      <c r="J31" s="40"/>
      <c r="K31" s="189"/>
      <c r="L31" s="298"/>
      <c r="M31" s="81"/>
      <c r="N31" s="21">
        <v>45314</v>
      </c>
      <c r="O31" s="282" t="str">
        <f>IF(Tableau3384[[#This Row],[Date du paiement]]&gt;0,"",Tableau3384[[#This Row],[Montant
CHF]])</f>
        <v/>
      </c>
      <c r="P31" s="276" t="str">
        <f>IF(Tableau3384[[#This Row],[Date du paiement]]="",$B$4-Tableau3384[[#This Row],[Écheance]],"")</f>
        <v/>
      </c>
      <c r="Q31" s="168" t="str">
        <f>IF(Tableau3384[[#This Row],[Date du paiement]]="",IF(Tableau3384[[#This Row],[jours jusqu''à l''écheance]]&gt;0,Tableau3384[[#This Row],[Montant
CHF]],""),"")</f>
        <v/>
      </c>
      <c r="R31" s="298" t="str">
        <f>IF(Tableau3384[[#This Row],[Date du paiement]]="",IF(Tableau3384[[#This Row],[jours jusqu''à l''écheance]]-($B$4-$B$11-1)&gt;0,Tableau3384[[#This Row],[Montant
CHF]],""),"")</f>
        <v/>
      </c>
      <c r="S31" s="142"/>
      <c r="T31" s="95" t="str">
        <f>IF(Tableau3384[[#This Row],[Paiements prevus]]="oui",Tableau3384[[#This Row],[Montant prevu à payer CH]],"")</f>
        <v/>
      </c>
      <c r="U31" s="176">
        <v>2023</v>
      </c>
      <c r="V31" s="73"/>
      <c r="W31" s="68"/>
      <c r="X31" s="23">
        <v>45299</v>
      </c>
      <c r="Y31" s="7" t="s">
        <v>58</v>
      </c>
      <c r="Z31" s="120" t="str">
        <f>IF(Tableau3384[[#This Row],[Méthode du paiement]]="Mastercard","OUI","")</f>
        <v/>
      </c>
      <c r="AA31" s="6" t="s">
        <v>39</v>
      </c>
      <c r="AB31" s="6" t="s">
        <v>40</v>
      </c>
    </row>
    <row r="32" spans="1:35" hidden="1" x14ac:dyDescent="0.25">
      <c r="A32" s="182" t="s">
        <v>49</v>
      </c>
      <c r="B32" s="21">
        <v>45294</v>
      </c>
      <c r="C32" s="21">
        <v>45299</v>
      </c>
      <c r="D32" s="22" t="s">
        <v>50</v>
      </c>
      <c r="E32" s="11">
        <v>837.75</v>
      </c>
      <c r="F32" s="88">
        <v>8.1</v>
      </c>
      <c r="G32" s="80"/>
      <c r="H32" s="136">
        <f>Tableau3384[[#This Row],[Montant
CHF]]+Tableau3384[[#This Row],[Abzug/Spesen
CHF]]</f>
        <v>837.75</v>
      </c>
      <c r="I32" s="39"/>
      <c r="J32" s="40"/>
      <c r="K32" s="189"/>
      <c r="L32" s="298"/>
      <c r="M32" s="81"/>
      <c r="N32" s="21">
        <v>45322</v>
      </c>
      <c r="O32" s="282" t="str">
        <f>IF(Tableau3384[[#This Row],[Date du paiement]]&gt;0,"",Tableau3384[[#This Row],[Montant
CHF]])</f>
        <v/>
      </c>
      <c r="P32" s="276" t="str">
        <f>IF(Tableau3384[[#This Row],[Date du paiement]]="",$B$4-Tableau3384[[#This Row],[Écheance]],"")</f>
        <v/>
      </c>
      <c r="Q32" s="168" t="str">
        <f>IF(Tableau3384[[#This Row],[Date du paiement]]="",IF(Tableau3384[[#This Row],[jours jusqu''à l''écheance]]&gt;0,Tableau3384[[#This Row],[Montant
CHF]],""),"")</f>
        <v/>
      </c>
      <c r="R32" s="298" t="str">
        <f>IF(Tableau3384[[#This Row],[Date du paiement]]="",IF(Tableau3384[[#This Row],[jours jusqu''à l''écheance]]-($B$4-$B$11-1)&gt;0,Tableau3384[[#This Row],[Montant
CHF]],""),"")</f>
        <v/>
      </c>
      <c r="S32" s="142"/>
      <c r="T32" s="95" t="str">
        <f>IF(Tableau3384[[#This Row],[Paiements prevus]]="oui",Tableau3384[[#This Row],[Montant prevu à payer CH]],"")</f>
        <v/>
      </c>
      <c r="U32" s="176">
        <v>2023</v>
      </c>
      <c r="V32" s="73"/>
      <c r="W32" s="68"/>
      <c r="X32" s="23">
        <v>45330</v>
      </c>
      <c r="Y32" s="7" t="s">
        <v>58</v>
      </c>
      <c r="Z32" s="120" t="str">
        <f>IF(Tableau3384[[#This Row],[Méthode du paiement]]="Mastercard","OUI","")</f>
        <v/>
      </c>
      <c r="AA32" s="18" t="s">
        <v>1431</v>
      </c>
      <c r="AB32" s="6" t="s">
        <v>40</v>
      </c>
    </row>
    <row r="33" spans="1:28" hidden="1" x14ac:dyDescent="0.25">
      <c r="A33" s="9" t="s">
        <v>37</v>
      </c>
      <c r="B33" s="21">
        <v>45294</v>
      </c>
      <c r="C33" s="21">
        <v>45299</v>
      </c>
      <c r="D33" s="22" t="s">
        <v>38</v>
      </c>
      <c r="E33" s="11">
        <v>46.25</v>
      </c>
      <c r="F33" s="88">
        <v>8.1</v>
      </c>
      <c r="G33" s="80"/>
      <c r="H33" s="136">
        <f>Tableau3384[[#This Row],[Montant
CHF]]+Tableau3384[[#This Row],[Abzug/Spesen
CHF]]</f>
        <v>46.25</v>
      </c>
      <c r="I33" s="39"/>
      <c r="J33" s="40"/>
      <c r="K33" s="189"/>
      <c r="L33" s="298"/>
      <c r="M33" s="81"/>
      <c r="N33" s="21">
        <v>45319</v>
      </c>
      <c r="O33" s="282" t="str">
        <f>IF(Tableau3384[[#This Row],[Date du paiement]]&gt;0,"",Tableau3384[[#This Row],[Montant
CHF]])</f>
        <v/>
      </c>
      <c r="P33" s="276" t="str">
        <f>IF(Tableau3384[[#This Row],[Date du paiement]]="",$B$4-Tableau3384[[#This Row],[Écheance]],"")</f>
        <v/>
      </c>
      <c r="Q33" s="168" t="str">
        <f>IF(Tableau3384[[#This Row],[Date du paiement]]="",IF(Tableau3384[[#This Row],[jours jusqu''à l''écheance]]&gt;0,Tableau3384[[#This Row],[Montant
CHF]],""),"")</f>
        <v/>
      </c>
      <c r="R33" s="298" t="str">
        <f>IF(Tableau3384[[#This Row],[Date du paiement]]="",IF(Tableau3384[[#This Row],[jours jusqu''à l''écheance]]-($B$4-$B$11-1)&gt;0,Tableau3384[[#This Row],[Montant
CHF]],""),"")</f>
        <v/>
      </c>
      <c r="S33" s="142"/>
      <c r="T33" s="95" t="str">
        <f>IF(Tableau3384[[#This Row],[Paiements prevus]]="oui",Tableau3384[[#This Row],[Montant prevu à payer CH]],"")</f>
        <v/>
      </c>
      <c r="U33" s="176">
        <v>2023</v>
      </c>
      <c r="V33" s="73"/>
      <c r="W33" s="68"/>
      <c r="X33" s="23">
        <v>45330</v>
      </c>
      <c r="Y33" s="7" t="s">
        <v>58</v>
      </c>
      <c r="Z33" s="120" t="str">
        <f>IF(Tableau3384[[#This Row],[Méthode du paiement]]="Mastercard","OUI","")</f>
        <v/>
      </c>
      <c r="AA33" s="6" t="s">
        <v>39</v>
      </c>
      <c r="AB33" s="6" t="s">
        <v>40</v>
      </c>
    </row>
    <row r="34" spans="1:28" hidden="1" x14ac:dyDescent="0.25">
      <c r="A34" s="9" t="s">
        <v>17</v>
      </c>
      <c r="B34" s="21">
        <v>45294</v>
      </c>
      <c r="C34" s="21">
        <v>45301</v>
      </c>
      <c r="D34" s="22" t="s">
        <v>18</v>
      </c>
      <c r="E34" s="11">
        <f>281.95+411.45</f>
        <v>693.4</v>
      </c>
      <c r="F34" s="88">
        <v>0</v>
      </c>
      <c r="G34" s="80"/>
      <c r="H34" s="136">
        <f>Tableau3384[[#This Row],[Montant
CHF]]+Tableau3384[[#This Row],[Abzug/Spesen
CHF]]</f>
        <v>693.4</v>
      </c>
      <c r="I34" s="39"/>
      <c r="J34" s="40"/>
      <c r="K34" s="189"/>
      <c r="L34" s="298"/>
      <c r="M34" s="81" t="s">
        <v>121</v>
      </c>
      <c r="N34" s="21">
        <v>45312</v>
      </c>
      <c r="O34" s="282" t="str">
        <f>IF(Tableau3384[[#This Row],[Date du paiement]]&gt;0,"",Tableau3384[[#This Row],[Montant
CHF]])</f>
        <v/>
      </c>
      <c r="P34" s="276" t="str">
        <f>IF(Tableau3384[[#This Row],[Date du paiement]]="",$B$4-Tableau3384[[#This Row],[Écheance]],"")</f>
        <v/>
      </c>
      <c r="Q34" s="168" t="str">
        <f>IF(Tableau3384[[#This Row],[Date du paiement]]="",IF(Tableau3384[[#This Row],[jours jusqu''à l''écheance]]&gt;0,Tableau3384[[#This Row],[Montant
CHF]],""),"")</f>
        <v/>
      </c>
      <c r="R34" s="298" t="str">
        <f>IF(Tableau3384[[#This Row],[Date du paiement]]="",IF(Tableau3384[[#This Row],[jours jusqu''à l''écheance]]-($B$4-$B$11-1)&gt;0,Tableau3384[[#This Row],[Montant
CHF]],""),"")</f>
        <v/>
      </c>
      <c r="S34" s="142"/>
      <c r="T34" s="95" t="str">
        <f>IF(Tableau3384[[#This Row],[Paiements prevus]]="oui",Tableau3384[[#This Row],[Montant prevu à payer CH]],"")</f>
        <v/>
      </c>
      <c r="U34" s="129"/>
      <c r="V34" s="73"/>
      <c r="W34" s="68"/>
      <c r="X34" s="23">
        <v>45331</v>
      </c>
      <c r="Y34" s="7" t="s">
        <v>58</v>
      </c>
      <c r="Z34" s="120" t="str">
        <f>IF(Tableau3384[[#This Row],[Méthode du paiement]]="Mastercard","OUI","")</f>
        <v/>
      </c>
      <c r="AA34" s="6" t="s">
        <v>4</v>
      </c>
      <c r="AB34" s="6" t="s">
        <v>20</v>
      </c>
    </row>
    <row r="35" spans="1:28" hidden="1" x14ac:dyDescent="0.25">
      <c r="A35" s="182" t="s">
        <v>63</v>
      </c>
      <c r="B35" s="21">
        <v>45294</v>
      </c>
      <c r="C35" s="21">
        <v>45302</v>
      </c>
      <c r="D35" s="22" t="s">
        <v>62</v>
      </c>
      <c r="E35" s="11">
        <v>637.5</v>
      </c>
      <c r="F35" s="88">
        <v>0</v>
      </c>
      <c r="G35" s="80"/>
      <c r="H35" s="136">
        <f>Tableau3384[[#This Row],[Montant
CHF]]+Tableau3384[[#This Row],[Abzug/Spesen
CHF]]</f>
        <v>637.5</v>
      </c>
      <c r="I35" s="39"/>
      <c r="J35" s="40"/>
      <c r="K35" s="189"/>
      <c r="L35" s="298"/>
      <c r="M35" s="81"/>
      <c r="N35" s="21">
        <v>45350</v>
      </c>
      <c r="O35" s="282" t="str">
        <f>IF(Tableau3384[[#This Row],[Date du paiement]]&gt;0,"",Tableau3384[[#This Row],[Montant
CHF]])</f>
        <v/>
      </c>
      <c r="P35" s="276" t="str">
        <f>IF(Tableau3384[[#This Row],[Date du paiement]]="",$B$4-Tableau3384[[#This Row],[Écheance]],"")</f>
        <v/>
      </c>
      <c r="Q35" s="168" t="str">
        <f>IF(Tableau3384[[#This Row],[Date du paiement]]="",IF(Tableau3384[[#This Row],[jours jusqu''à l''écheance]]&gt;0,Tableau3384[[#This Row],[Montant
CHF]],""),"")</f>
        <v/>
      </c>
      <c r="R35" s="298" t="str">
        <f>IF(Tableau3384[[#This Row],[Date du paiement]]="",IF(Tableau3384[[#This Row],[jours jusqu''à l''écheance]]-($B$4-$B$11-1)&gt;0,Tableau3384[[#This Row],[Montant
CHF]],""),"")</f>
        <v/>
      </c>
      <c r="S35" s="142"/>
      <c r="T35" s="95" t="str">
        <f>IF(Tableau3384[[#This Row],[Paiements prevus]]="oui",Tableau3384[[#This Row],[Montant prevu à payer CH]],"")</f>
        <v/>
      </c>
      <c r="U35" s="129"/>
      <c r="V35" s="73"/>
      <c r="W35" s="68"/>
      <c r="X35" s="23">
        <v>45351</v>
      </c>
      <c r="Y35" s="7" t="s">
        <v>58</v>
      </c>
      <c r="Z35" s="120" t="str">
        <f>IF(Tableau3384[[#This Row],[Méthode du paiement]]="Mastercard","OUI","")</f>
        <v/>
      </c>
      <c r="AA35" s="18" t="s">
        <v>1431</v>
      </c>
      <c r="AB35" s="6" t="s">
        <v>67</v>
      </c>
    </row>
    <row r="36" spans="1:28" hidden="1" x14ac:dyDescent="0.25">
      <c r="A36" s="9" t="s">
        <v>64</v>
      </c>
      <c r="B36" s="21">
        <v>45294</v>
      </c>
      <c r="C36" s="21">
        <v>45302</v>
      </c>
      <c r="D36" s="22" t="s">
        <v>62</v>
      </c>
      <c r="E36" s="11">
        <v>637.5</v>
      </c>
      <c r="F36" s="88">
        <v>0</v>
      </c>
      <c r="G36" s="80"/>
      <c r="H36" s="136">
        <f>Tableau3384[[#This Row],[Montant
CHF]]+Tableau3384[[#This Row],[Abzug/Spesen
CHF]]</f>
        <v>637.5</v>
      </c>
      <c r="I36" s="39"/>
      <c r="J36" s="40"/>
      <c r="K36" s="189"/>
      <c r="L36" s="298"/>
      <c r="M36" s="81"/>
      <c r="N36" s="21">
        <v>45350</v>
      </c>
      <c r="O36" s="282" t="str">
        <f>IF(Tableau3384[[#This Row],[Date du paiement]]&gt;0,"",Tableau3384[[#This Row],[Montant
CHF]])</f>
        <v/>
      </c>
      <c r="P36" s="276" t="str">
        <f>IF(Tableau3384[[#This Row],[Date du paiement]]="",$B$4-Tableau3384[[#This Row],[Écheance]],"")</f>
        <v/>
      </c>
      <c r="Q36" s="168" t="str">
        <f>IF(Tableau3384[[#This Row],[Date du paiement]]="",IF(Tableau3384[[#This Row],[jours jusqu''à l''écheance]]&gt;0,Tableau3384[[#This Row],[Montant
CHF]],""),"")</f>
        <v/>
      </c>
      <c r="R36" s="298" t="str">
        <f>IF(Tableau3384[[#This Row],[Date du paiement]]="",IF(Tableau3384[[#This Row],[jours jusqu''à l''écheance]]-($B$4-$B$11-1)&gt;0,Tableau3384[[#This Row],[Montant
CHF]],""),"")</f>
        <v/>
      </c>
      <c r="S36" s="142"/>
      <c r="T36" s="95" t="str">
        <f>IF(Tableau3384[[#This Row],[Paiements prevus]]="oui",Tableau3384[[#This Row],[Montant prevu à payer CH]],"")</f>
        <v/>
      </c>
      <c r="U36" s="129"/>
      <c r="V36" s="73"/>
      <c r="W36" s="68"/>
      <c r="X36" s="23">
        <v>45351</v>
      </c>
      <c r="Y36" s="7" t="s">
        <v>58</v>
      </c>
      <c r="Z36" s="120" t="str">
        <f>IF(Tableau3384[[#This Row],[Méthode du paiement]]="Mastercard","OUI","")</f>
        <v/>
      </c>
      <c r="AA36" s="18" t="s">
        <v>1431</v>
      </c>
      <c r="AB36" s="6" t="s">
        <v>68</v>
      </c>
    </row>
    <row r="37" spans="1:28" hidden="1" x14ac:dyDescent="0.25">
      <c r="A37" s="9" t="s">
        <v>65</v>
      </c>
      <c r="B37" s="21">
        <v>45294</v>
      </c>
      <c r="C37" s="21">
        <v>45302</v>
      </c>
      <c r="D37" s="22" t="s">
        <v>62</v>
      </c>
      <c r="E37" s="11">
        <v>1400</v>
      </c>
      <c r="F37" s="88">
        <v>0</v>
      </c>
      <c r="G37" s="80"/>
      <c r="H37" s="136">
        <f>Tableau3384[[#This Row],[Montant
CHF]]+Tableau3384[[#This Row],[Abzug/Spesen
CHF]]</f>
        <v>1400</v>
      </c>
      <c r="I37" s="39"/>
      <c r="J37" s="40"/>
      <c r="K37" s="189"/>
      <c r="L37" s="298"/>
      <c r="M37" s="81"/>
      <c r="N37" s="21">
        <v>45350</v>
      </c>
      <c r="O37" s="282" t="str">
        <f>IF(Tableau3384[[#This Row],[Date du paiement]]&gt;0,"",Tableau3384[[#This Row],[Montant
CHF]])</f>
        <v/>
      </c>
      <c r="P37" s="276" t="str">
        <f>IF(Tableau3384[[#This Row],[Date du paiement]]="",$B$4-Tableau3384[[#This Row],[Écheance]],"")</f>
        <v/>
      </c>
      <c r="Q37" s="168" t="str">
        <f>IF(Tableau3384[[#This Row],[Date du paiement]]="",IF(Tableau3384[[#This Row],[jours jusqu''à l''écheance]]&gt;0,Tableau3384[[#This Row],[Montant
CHF]],""),"")</f>
        <v/>
      </c>
      <c r="R37" s="298" t="str">
        <f>IF(Tableau3384[[#This Row],[Date du paiement]]="",IF(Tableau3384[[#This Row],[jours jusqu''à l''écheance]]-($B$4-$B$11-1)&gt;0,Tableau3384[[#This Row],[Montant
CHF]],""),"")</f>
        <v/>
      </c>
      <c r="S37" s="142"/>
      <c r="T37" s="95" t="str">
        <f>IF(Tableau3384[[#This Row],[Paiements prevus]]="oui",Tableau3384[[#This Row],[Montant prevu à payer CH]],"")</f>
        <v/>
      </c>
      <c r="U37" s="129"/>
      <c r="V37" s="73"/>
      <c r="W37" s="68"/>
      <c r="X37" s="23">
        <v>45351</v>
      </c>
      <c r="Y37" s="7" t="s">
        <v>58</v>
      </c>
      <c r="Z37" s="120" t="str">
        <f>IF(Tableau3384[[#This Row],[Méthode du paiement]]="Mastercard","OUI","")</f>
        <v/>
      </c>
      <c r="AA37" s="18" t="s">
        <v>1431</v>
      </c>
      <c r="AB37" s="6" t="s">
        <v>69</v>
      </c>
    </row>
    <row r="38" spans="1:28" hidden="1" x14ac:dyDescent="0.25">
      <c r="A38" s="182" t="s">
        <v>66</v>
      </c>
      <c r="B38" s="21">
        <v>45294</v>
      </c>
      <c r="C38" s="21">
        <v>45302</v>
      </c>
      <c r="D38" s="22" t="s">
        <v>62</v>
      </c>
      <c r="E38" s="11">
        <v>100</v>
      </c>
      <c r="F38" s="88">
        <v>0</v>
      </c>
      <c r="G38" s="80"/>
      <c r="H38" s="136">
        <f>Tableau3384[[#This Row],[Montant
CHF]]+Tableau3384[[#This Row],[Abzug/Spesen
CHF]]</f>
        <v>100</v>
      </c>
      <c r="I38" s="39"/>
      <c r="J38" s="40"/>
      <c r="K38" s="189"/>
      <c r="L38" s="298"/>
      <c r="M38" s="81"/>
      <c r="N38" s="21">
        <v>45350</v>
      </c>
      <c r="O38" s="282" t="str">
        <f>IF(Tableau3384[[#This Row],[Date du paiement]]&gt;0,"",Tableau3384[[#This Row],[Montant
CHF]])</f>
        <v/>
      </c>
      <c r="P38" s="276" t="str">
        <f>IF(Tableau3384[[#This Row],[Date du paiement]]="",$B$4-Tableau3384[[#This Row],[Écheance]],"")</f>
        <v/>
      </c>
      <c r="Q38" s="168" t="str">
        <f>IF(Tableau3384[[#This Row],[Date du paiement]]="",IF(Tableau3384[[#This Row],[jours jusqu''à l''écheance]]&gt;0,Tableau3384[[#This Row],[Montant
CHF]],""),"")</f>
        <v/>
      </c>
      <c r="R38" s="298" t="str">
        <f>IF(Tableau3384[[#This Row],[Date du paiement]]="",IF(Tableau3384[[#This Row],[jours jusqu''à l''écheance]]-($B$4-$B$11-1)&gt;0,Tableau3384[[#This Row],[Montant
CHF]],""),"")</f>
        <v/>
      </c>
      <c r="S38" s="142"/>
      <c r="T38" s="95" t="str">
        <f>IF(Tableau3384[[#This Row],[Paiements prevus]]="oui",Tableau3384[[#This Row],[Montant prevu à payer CH]],"")</f>
        <v/>
      </c>
      <c r="U38" s="129"/>
      <c r="V38" s="73"/>
      <c r="W38" s="68"/>
      <c r="X38" s="23">
        <v>45351</v>
      </c>
      <c r="Y38" s="7" t="s">
        <v>58</v>
      </c>
      <c r="Z38" s="120" t="str">
        <f>IF(Tableau3384[[#This Row],[Méthode du paiement]]="Mastercard","OUI","")</f>
        <v/>
      </c>
      <c r="AA38" s="18" t="s">
        <v>1431</v>
      </c>
      <c r="AB38" s="6" t="s">
        <v>70</v>
      </c>
    </row>
    <row r="39" spans="1:28" hidden="1" x14ac:dyDescent="0.25">
      <c r="A39" s="9" t="s">
        <v>127</v>
      </c>
      <c r="B39" s="21">
        <v>45295</v>
      </c>
      <c r="C39" s="21">
        <v>45295</v>
      </c>
      <c r="D39" s="22" t="s">
        <v>1</v>
      </c>
      <c r="E39" s="11">
        <v>1051.95</v>
      </c>
      <c r="F39" s="88">
        <v>0</v>
      </c>
      <c r="G39" s="80"/>
      <c r="H39" s="136">
        <f>Tableau3384[[#This Row],[Montant
CHF]]+Tableau3384[[#This Row],[Abzug/Spesen
CHF]]</f>
        <v>1051.95</v>
      </c>
      <c r="I39" s="39"/>
      <c r="J39" s="40"/>
      <c r="K39" s="189"/>
      <c r="L39" s="298"/>
      <c r="M39" s="81"/>
      <c r="N39" s="21">
        <v>45295</v>
      </c>
      <c r="O39" s="282" t="str">
        <f>IF(Tableau3384[[#This Row],[Date du paiement]]&gt;0,"",Tableau3384[[#This Row],[Montant
CHF]])</f>
        <v/>
      </c>
      <c r="P39" s="276" t="str">
        <f>IF(Tableau3384[[#This Row],[Date du paiement]]="",$B$4-Tableau3384[[#This Row],[Écheance]],"")</f>
        <v/>
      </c>
      <c r="Q39" s="168" t="str">
        <f>IF(Tableau3384[[#This Row],[Date du paiement]]="",IF(Tableau3384[[#This Row],[jours jusqu''à l''écheance]]&gt;0,Tableau3384[[#This Row],[Montant
CHF]],""),"")</f>
        <v/>
      </c>
      <c r="R39" s="298" t="str">
        <f>IF(Tableau3384[[#This Row],[Date du paiement]]="",IF(Tableau3384[[#This Row],[jours jusqu''à l''écheance]]-($B$4-$B$11-1)&gt;0,Tableau3384[[#This Row],[Montant
CHF]],""),"")</f>
        <v/>
      </c>
      <c r="S39" s="142"/>
      <c r="T39" s="95" t="str">
        <f>IF(Tableau3384[[#This Row],[Paiements prevus]]="oui",Tableau3384[[#This Row],[Montant prevu à payer CH]],"")</f>
        <v/>
      </c>
      <c r="U39" s="129"/>
      <c r="V39" s="73"/>
      <c r="W39" s="68"/>
      <c r="X39" s="23">
        <v>45338</v>
      </c>
      <c r="Y39" s="7" t="s">
        <v>58</v>
      </c>
      <c r="Z39" s="120" t="str">
        <f>IF(Tableau3384[[#This Row],[Méthode du paiement]]="Mastercard","OUI","")</f>
        <v/>
      </c>
      <c r="AA39" s="6" t="s">
        <v>43</v>
      </c>
      <c r="AB39" s="6" t="s">
        <v>128</v>
      </c>
    </row>
    <row r="40" spans="1:28" hidden="1" x14ac:dyDescent="0.25">
      <c r="A40" s="9" t="s">
        <v>232</v>
      </c>
      <c r="B40" s="21">
        <v>45295</v>
      </c>
      <c r="C40" s="21">
        <v>45299</v>
      </c>
      <c r="D40" s="22" t="s">
        <v>13</v>
      </c>
      <c r="E40" s="11">
        <f>Tableau3384[[#This Row],[Montant
EUR]]*Tableau3384[[#This Row],[Taux 
de change]]</f>
        <v>20796.519187151003</v>
      </c>
      <c r="F40" s="88">
        <v>0</v>
      </c>
      <c r="G40" s="80"/>
      <c r="H40" s="136">
        <f>Tableau3384[[#This Row],[Montant
CHF]]+Tableau3384[[#This Row],[Abzug/Spesen
CHF]]</f>
        <v>20796.519187151003</v>
      </c>
      <c r="I40" s="39">
        <v>0.96599990000000002</v>
      </c>
      <c r="J40" s="40">
        <v>21528.49</v>
      </c>
      <c r="K40" s="189"/>
      <c r="L40" s="298"/>
      <c r="M40" s="81"/>
      <c r="N40" s="21">
        <v>45355</v>
      </c>
      <c r="O40" s="282" t="str">
        <f>IF(Tableau3384[[#This Row],[Date du paiement]]&gt;0,"",Tableau3384[[#This Row],[Montant
CHF]])</f>
        <v/>
      </c>
      <c r="P40" s="276" t="str">
        <f>IF(Tableau3384[[#This Row],[Date du paiement]]="",$B$4-Tableau3384[[#This Row],[Écheance]],"")</f>
        <v/>
      </c>
      <c r="Q40" s="168" t="str">
        <f>IF(Tableau3384[[#This Row],[Date du paiement]]="",IF(Tableau3384[[#This Row],[jours jusqu''à l''écheance]]&gt;0,Tableau3384[[#This Row],[Montant
CHF]],""),"")</f>
        <v/>
      </c>
      <c r="R40" s="298" t="str">
        <f>IF(Tableau3384[[#This Row],[Date du paiement]]="",IF(Tableau3384[[#This Row],[jours jusqu''à l''écheance]]-($B$4-$B$11-1)&gt;0,Tableau3384[[#This Row],[Montant
CHF]],""),"")</f>
        <v/>
      </c>
      <c r="S40" s="142"/>
      <c r="T40" s="95" t="str">
        <f>IF(Tableau3384[[#This Row],[Paiements prevus]]="oui",Tableau3384[[#This Row],[Montant prevu à payer CH]],"")</f>
        <v/>
      </c>
      <c r="U40" s="176"/>
      <c r="V40" s="73"/>
      <c r="W40" s="68"/>
      <c r="X40" s="23">
        <v>45358</v>
      </c>
      <c r="Y40" s="7" t="s">
        <v>58</v>
      </c>
      <c r="Z40" s="120" t="str">
        <f>IF(Tableau3384[[#This Row],[Méthode du paiement]]="Mastercard","OUI","")</f>
        <v/>
      </c>
      <c r="AA40" s="6" t="s">
        <v>14</v>
      </c>
      <c r="AB40" s="6" t="s">
        <v>15</v>
      </c>
    </row>
    <row r="41" spans="1:28" hidden="1" x14ac:dyDescent="0.25">
      <c r="A41" s="9" t="s">
        <v>9</v>
      </c>
      <c r="B41" s="21">
        <v>45296</v>
      </c>
      <c r="C41" s="21">
        <v>45299</v>
      </c>
      <c r="D41" s="22" t="s">
        <v>289</v>
      </c>
      <c r="E41" s="11">
        <v>3790</v>
      </c>
      <c r="F41" s="88">
        <v>0</v>
      </c>
      <c r="G41" s="80"/>
      <c r="H41" s="136">
        <f>Tableau3384[[#This Row],[Montant
CHF]]+Tableau3384[[#This Row],[Abzug/Spesen
CHF]]</f>
        <v>3790</v>
      </c>
      <c r="I41" s="39"/>
      <c r="J41" s="40"/>
      <c r="K41" s="189"/>
      <c r="L41" s="298"/>
      <c r="M41" s="81"/>
      <c r="N41" s="21">
        <v>45326</v>
      </c>
      <c r="O41" s="282" t="str">
        <f>IF(Tableau3384[[#This Row],[Date du paiement]]&gt;0,"",Tableau3384[[#This Row],[Montant
CHF]])</f>
        <v/>
      </c>
      <c r="P41" s="276" t="str">
        <f>IF(Tableau3384[[#This Row],[Date du paiement]]="",$B$4-Tableau3384[[#This Row],[Écheance]],"")</f>
        <v/>
      </c>
      <c r="Q41" s="168" t="str">
        <f>IF(Tableau3384[[#This Row],[Date du paiement]]="",IF(Tableau3384[[#This Row],[jours jusqu''à l''écheance]]&gt;0,Tableau3384[[#This Row],[Montant
CHF]],""),"")</f>
        <v/>
      </c>
      <c r="R41" s="298" t="str">
        <f>IF(Tableau3384[[#This Row],[Date du paiement]]="",IF(Tableau3384[[#This Row],[jours jusqu''à l''écheance]]-($B$4-$B$11-1)&gt;0,Tableau3384[[#This Row],[Montant
CHF]],""),"")</f>
        <v/>
      </c>
      <c r="S41" s="142"/>
      <c r="T41" s="95" t="str">
        <f>IF(Tableau3384[[#This Row],[Paiements prevus]]="oui",Tableau3384[[#This Row],[Montant prevu à payer CH]],"")</f>
        <v/>
      </c>
      <c r="U41" s="176"/>
      <c r="V41" s="73"/>
      <c r="W41" s="68"/>
      <c r="X41" s="23">
        <v>45335</v>
      </c>
      <c r="Y41" s="7" t="s">
        <v>58</v>
      </c>
      <c r="Z41" s="120" t="str">
        <f>IF(Tableau3384[[#This Row],[Méthode du paiement]]="Mastercard","OUI","")</f>
        <v/>
      </c>
      <c r="AA41" s="6" t="s">
        <v>11</v>
      </c>
      <c r="AB41" s="6" t="s">
        <v>12</v>
      </c>
    </row>
    <row r="42" spans="1:28" hidden="1" x14ac:dyDescent="0.25">
      <c r="A42" s="9" t="s">
        <v>41</v>
      </c>
      <c r="B42" s="21">
        <v>45299</v>
      </c>
      <c r="C42" s="21">
        <v>45299</v>
      </c>
      <c r="D42" s="22" t="s">
        <v>42</v>
      </c>
      <c r="E42" s="11">
        <v>33</v>
      </c>
      <c r="F42" s="88">
        <v>8.1</v>
      </c>
      <c r="G42" s="80"/>
      <c r="H42" s="136">
        <f>Tableau3384[[#This Row],[Montant
CHF]]+Tableau3384[[#This Row],[Abzug/Spesen
CHF]]</f>
        <v>33</v>
      </c>
      <c r="I42" s="39"/>
      <c r="J42" s="40"/>
      <c r="K42" s="189"/>
      <c r="L42" s="298"/>
      <c r="M42" s="81"/>
      <c r="N42" s="21">
        <v>45329</v>
      </c>
      <c r="O42" s="282" t="str">
        <f>IF(Tableau3384[[#This Row],[Date du paiement]]&gt;0,"",Tableau3384[[#This Row],[Montant
CHF]])</f>
        <v/>
      </c>
      <c r="P42" s="276" t="str">
        <f>IF(Tableau3384[[#This Row],[Date du paiement]]="",$B$4-Tableau3384[[#This Row],[Écheance]],"")</f>
        <v/>
      </c>
      <c r="Q42" s="168" t="str">
        <f>IF(Tableau3384[[#This Row],[Date du paiement]]="",IF(Tableau3384[[#This Row],[jours jusqu''à l''écheance]]&gt;0,Tableau3384[[#This Row],[Montant
CHF]],""),"")</f>
        <v/>
      </c>
      <c r="R42" s="298" t="str">
        <f>IF(Tableau3384[[#This Row],[Date du paiement]]="",IF(Tableau3384[[#This Row],[jours jusqu''à l''écheance]]-($B$4-$B$11-1)&gt;0,Tableau3384[[#This Row],[Montant
CHF]],""),"")</f>
        <v/>
      </c>
      <c r="S42" s="142"/>
      <c r="T42" s="95" t="str">
        <f>IF(Tableau3384[[#This Row],[Paiements prevus]]="oui",Tableau3384[[#This Row],[Montant prevu à payer CH]],"")</f>
        <v/>
      </c>
      <c r="U42" s="176">
        <v>2023</v>
      </c>
      <c r="V42" s="73"/>
      <c r="W42" s="68"/>
      <c r="X42" s="23">
        <v>45338</v>
      </c>
      <c r="Y42" s="7" t="s">
        <v>58</v>
      </c>
      <c r="Z42" s="120" t="str">
        <f>IF(Tableau3384[[#This Row],[Méthode du paiement]]="Mastercard","OUI","")</f>
        <v/>
      </c>
      <c r="AA42" s="180" t="s">
        <v>43</v>
      </c>
      <c r="AB42" s="6" t="s">
        <v>44</v>
      </c>
    </row>
    <row r="43" spans="1:28" hidden="1" x14ac:dyDescent="0.25">
      <c r="A43" s="9" t="s">
        <v>218</v>
      </c>
      <c r="B43" s="21">
        <v>45299</v>
      </c>
      <c r="C43" s="21">
        <v>45299</v>
      </c>
      <c r="D43" s="22" t="s">
        <v>216</v>
      </c>
      <c r="E43" s="11">
        <v>3080</v>
      </c>
      <c r="F43" s="88">
        <v>100</v>
      </c>
      <c r="G43" s="80"/>
      <c r="H43" s="136">
        <f>Tableau3384[[#This Row],[Montant
CHF]]+Tableau3384[[#This Row],[Abzug/Spesen
CHF]]</f>
        <v>3080</v>
      </c>
      <c r="I43" s="39"/>
      <c r="J43" s="40"/>
      <c r="K43" s="189"/>
      <c r="L43" s="298"/>
      <c r="M43" s="81"/>
      <c r="N43" s="21">
        <v>45359</v>
      </c>
      <c r="O43" s="282" t="str">
        <f>IF(Tableau3384[[#This Row],[Date du paiement]]&gt;0,"",Tableau3384[[#This Row],[Montant
CHF]])</f>
        <v/>
      </c>
      <c r="P43" s="276" t="str">
        <f>IF(Tableau3384[[#This Row],[Date du paiement]]="",$B$4-Tableau3384[[#This Row],[Écheance]],"")</f>
        <v/>
      </c>
      <c r="Q43" s="168" t="str">
        <f>IF(Tableau3384[[#This Row],[Date du paiement]]="",IF(Tableau3384[[#This Row],[jours jusqu''à l''écheance]]&gt;0,Tableau3384[[#This Row],[Montant
CHF]],""),"")</f>
        <v/>
      </c>
      <c r="R43" s="298" t="str">
        <f>IF(Tableau3384[[#This Row],[Date du paiement]]="",IF(Tableau3384[[#This Row],[jours jusqu''à l''écheance]]-($B$4-$B$11-1)&gt;0,Tableau3384[[#This Row],[Montant
CHF]],""),"")</f>
        <v/>
      </c>
      <c r="S43" s="142"/>
      <c r="T43" s="95" t="str">
        <f>IF(Tableau3384[[#This Row],[Paiements prevus]]="oui",Tableau3384[[#This Row],[Montant prevu à payer CH]],"")</f>
        <v/>
      </c>
      <c r="U43" s="176"/>
      <c r="V43" s="73"/>
      <c r="W43" s="68"/>
      <c r="X43" s="23">
        <v>45372</v>
      </c>
      <c r="Y43" s="7" t="s">
        <v>58</v>
      </c>
      <c r="Z43" s="120" t="str">
        <f>IF(Tableau3384[[#This Row],[Méthode du paiement]]="Mastercard","OUI","")</f>
        <v/>
      </c>
      <c r="AA43" s="6" t="s">
        <v>604</v>
      </c>
      <c r="AB43" s="6" t="s">
        <v>318</v>
      </c>
    </row>
    <row r="44" spans="1:28" hidden="1" x14ac:dyDescent="0.25">
      <c r="A44" s="9" t="s">
        <v>53</v>
      </c>
      <c r="B44" s="21">
        <v>45301</v>
      </c>
      <c r="C44" s="21">
        <v>45302</v>
      </c>
      <c r="D44" s="22" t="s">
        <v>54</v>
      </c>
      <c r="E44" s="11">
        <v>758.86</v>
      </c>
      <c r="F44" s="88">
        <v>8.1</v>
      </c>
      <c r="G44" s="80"/>
      <c r="H44" s="136">
        <f>Tableau3384[[#This Row],[Montant
CHF]]+Tableau3384[[#This Row],[Abzug/Spesen
CHF]]</f>
        <v>758.86</v>
      </c>
      <c r="I44" s="39"/>
      <c r="J44" s="40"/>
      <c r="K44" s="189"/>
      <c r="L44" s="298"/>
      <c r="M44" s="81"/>
      <c r="N44" s="21">
        <v>45311</v>
      </c>
      <c r="O44" s="282" t="str">
        <f>IF(Tableau3384[[#This Row],[Date du paiement]]&gt;0,"",Tableau3384[[#This Row],[Montant
CHF]])</f>
        <v/>
      </c>
      <c r="P44" s="276" t="str">
        <f>IF(Tableau3384[[#This Row],[Date du paiement]]="",$B$4-Tableau3384[[#This Row],[Écheance]],"")</f>
        <v/>
      </c>
      <c r="Q44" s="168" t="str">
        <f>IF(Tableau3384[[#This Row],[Date du paiement]]="",IF(Tableau3384[[#This Row],[jours jusqu''à l''écheance]]&gt;0,Tableau3384[[#This Row],[Montant
CHF]],""),"")</f>
        <v/>
      </c>
      <c r="R44" s="298" t="str">
        <f>IF(Tableau3384[[#This Row],[Date du paiement]]="",IF(Tableau3384[[#This Row],[jours jusqu''à l''écheance]]-($B$4-$B$11-1)&gt;0,Tableau3384[[#This Row],[Montant
CHF]],""),"")</f>
        <v/>
      </c>
      <c r="S44" s="142"/>
      <c r="T44" s="95" t="str">
        <f>IF(Tableau3384[[#This Row],[Paiements prevus]]="oui",Tableau3384[[#This Row],[Montant prevu à payer CH]],"")</f>
        <v/>
      </c>
      <c r="U44" s="176"/>
      <c r="V44" s="73"/>
      <c r="W44" s="68"/>
      <c r="X44" s="23">
        <v>45338</v>
      </c>
      <c r="Y44" s="7" t="s">
        <v>58</v>
      </c>
      <c r="Z44" s="120" t="str">
        <f>IF(Tableau3384[[#This Row],[Méthode du paiement]]="Mastercard","OUI","")</f>
        <v/>
      </c>
      <c r="AA44" s="6" t="s">
        <v>43</v>
      </c>
      <c r="AB44" s="6" t="s">
        <v>55</v>
      </c>
    </row>
    <row r="45" spans="1:28" hidden="1" x14ac:dyDescent="0.25">
      <c r="A45" s="9" t="s">
        <v>21</v>
      </c>
      <c r="B45" s="21">
        <v>45302</v>
      </c>
      <c r="C45" s="21">
        <v>45302</v>
      </c>
      <c r="D45" s="22" t="s">
        <v>22</v>
      </c>
      <c r="E45" s="183">
        <v>399.95</v>
      </c>
      <c r="F45" s="88">
        <v>8.1</v>
      </c>
      <c r="G45" s="80"/>
      <c r="H45" s="136">
        <f>Tableau3384[[#This Row],[Montant
CHF]]+Tableau3384[[#This Row],[Abzug/Spesen
CHF]]</f>
        <v>399.95</v>
      </c>
      <c r="I45" s="39"/>
      <c r="J45" s="40"/>
      <c r="K45" s="189"/>
      <c r="L45" s="298"/>
      <c r="M45" s="81"/>
      <c r="N45" s="21">
        <v>45332</v>
      </c>
      <c r="O45" s="282" t="str">
        <f>IF(Tableau3384[[#This Row],[Date du paiement]]&gt;0,"",Tableau3384[[#This Row],[Montant
CHF]])</f>
        <v/>
      </c>
      <c r="P45" s="276" t="str">
        <f>IF(Tableau3384[[#This Row],[Date du paiement]]="",$B$4-Tableau3384[[#This Row],[Écheance]],"")</f>
        <v/>
      </c>
      <c r="Q45" s="168" t="str">
        <f>IF(Tableau3384[[#This Row],[Date du paiement]]="",IF(Tableau3384[[#This Row],[jours jusqu''à l''écheance]]&gt;0,Tableau3384[[#This Row],[Montant
CHF]],""),"")</f>
        <v/>
      </c>
      <c r="R45" s="298" t="str">
        <f>IF(Tableau3384[[#This Row],[Date du paiement]]="",IF(Tableau3384[[#This Row],[jours jusqu''à l''écheance]]-($B$4-$B$11-1)&gt;0,Tableau3384[[#This Row],[Montant
CHF]],""),"")</f>
        <v/>
      </c>
      <c r="S45" s="142"/>
      <c r="T45" s="95" t="str">
        <f>IF(Tableau3384[[#This Row],[Paiements prevus]]="oui",Tableau3384[[#This Row],[Montant prevu à payer CH]],"")</f>
        <v/>
      </c>
      <c r="U45" s="176"/>
      <c r="V45" s="73"/>
      <c r="W45" s="68"/>
      <c r="X45" s="23">
        <v>45338</v>
      </c>
      <c r="Y45" s="7" t="s">
        <v>58</v>
      </c>
      <c r="Z45" s="120" t="str">
        <f>IF(Tableau3384[[#This Row],[Méthode du paiement]]="Mastercard","OUI","")</f>
        <v/>
      </c>
      <c r="AA45" s="6" t="s">
        <v>14</v>
      </c>
      <c r="AB45" s="6" t="s">
        <v>23</v>
      </c>
    </row>
    <row r="46" spans="1:28" hidden="1" x14ac:dyDescent="0.25">
      <c r="A46" s="9" t="s">
        <v>51</v>
      </c>
      <c r="B46" s="21">
        <v>45302</v>
      </c>
      <c r="C46" s="21">
        <v>45302</v>
      </c>
      <c r="D46" s="186" t="s">
        <v>1525</v>
      </c>
      <c r="E46" s="11">
        <v>272.68</v>
      </c>
      <c r="F46" s="88">
        <v>8.1</v>
      </c>
      <c r="G46" s="80"/>
      <c r="H46" s="136">
        <f>Tableau3384[[#This Row],[Montant
CHF]]+Tableau3384[[#This Row],[Abzug/Spesen
CHF]]</f>
        <v>272.68</v>
      </c>
      <c r="I46" s="39"/>
      <c r="J46" s="40"/>
      <c r="K46" s="189"/>
      <c r="L46" s="298"/>
      <c r="M46" s="81"/>
      <c r="N46" s="21">
        <v>45332</v>
      </c>
      <c r="O46" s="282" t="str">
        <f>IF(Tableau3384[[#This Row],[Date du paiement]]&gt;0,"",Tableau3384[[#This Row],[Montant
CHF]])</f>
        <v/>
      </c>
      <c r="P46" s="276" t="str">
        <f>IF(Tableau3384[[#This Row],[Date du paiement]]="",$B$4-Tableau3384[[#This Row],[Écheance]],"")</f>
        <v/>
      </c>
      <c r="Q46" s="168" t="str">
        <f>IF(Tableau3384[[#This Row],[Date du paiement]]="",IF(Tableau3384[[#This Row],[jours jusqu''à l''écheance]]&gt;0,Tableau3384[[#This Row],[Montant
CHF]],""),"")</f>
        <v/>
      </c>
      <c r="R46" s="298" t="str">
        <f>IF(Tableau3384[[#This Row],[Date du paiement]]="",IF(Tableau3384[[#This Row],[jours jusqu''à l''écheance]]-($B$4-$B$11-1)&gt;0,Tableau3384[[#This Row],[Montant
CHF]],""),"")</f>
        <v/>
      </c>
      <c r="S46" s="142"/>
      <c r="T46" s="95" t="str">
        <f>IF(Tableau3384[[#This Row],[Paiements prevus]]="oui",Tableau3384[[#This Row],[Montant prevu à payer CH]],"")</f>
        <v/>
      </c>
      <c r="U46" s="176"/>
      <c r="V46" s="73"/>
      <c r="W46" s="68"/>
      <c r="X46" s="23">
        <v>45338</v>
      </c>
      <c r="Y46" s="7" t="s">
        <v>58</v>
      </c>
      <c r="Z46" s="120" t="str">
        <f>IF(Tableau3384[[#This Row],[Méthode du paiement]]="Mastercard","OUI","")</f>
        <v/>
      </c>
      <c r="AA46" s="6" t="s">
        <v>14</v>
      </c>
      <c r="AB46" s="6" t="s">
        <v>52</v>
      </c>
    </row>
    <row r="47" spans="1:28" hidden="1" x14ac:dyDescent="0.25">
      <c r="A47" s="182" t="s">
        <v>34</v>
      </c>
      <c r="B47" s="21">
        <v>45303</v>
      </c>
      <c r="C47" s="21">
        <v>45306</v>
      </c>
      <c r="D47" s="22" t="s">
        <v>35</v>
      </c>
      <c r="E47" s="11">
        <v>4247.6499999999996</v>
      </c>
      <c r="F47" s="88">
        <v>0</v>
      </c>
      <c r="G47" s="80"/>
      <c r="H47" s="136">
        <f>Tableau3384[[#This Row],[Montant
CHF]]+Tableau3384[[#This Row],[Abzug/Spesen
CHF]]</f>
        <v>4247.6499999999996</v>
      </c>
      <c r="I47" s="39"/>
      <c r="J47" s="40"/>
      <c r="K47" s="189"/>
      <c r="L47" s="298"/>
      <c r="M47" s="194" t="s">
        <v>1255</v>
      </c>
      <c r="N47" s="21">
        <v>45334</v>
      </c>
      <c r="O47" s="282" t="str">
        <f>IF(Tableau3384[[#This Row],[Date du paiement]]&gt;0,"",Tableau3384[[#This Row],[Montant
CHF]])</f>
        <v/>
      </c>
      <c r="P47" s="276" t="str">
        <f>IF(Tableau3384[[#This Row],[Date du paiement]]="",$B$4-Tableau3384[[#This Row],[Écheance]],"")</f>
        <v/>
      </c>
      <c r="Q47" s="168" t="str">
        <f>IF(Tableau3384[[#This Row],[Date du paiement]]="",IF(Tableau3384[[#This Row],[jours jusqu''à l''écheance]]&gt;0,Tableau3384[[#This Row],[Montant
CHF]],""),"")</f>
        <v/>
      </c>
      <c r="R47" s="298" t="str">
        <f>IF(Tableau3384[[#This Row],[Date du paiement]]="",IF(Tableau3384[[#This Row],[jours jusqu''à l''écheance]]-($B$4-$B$11-1)&gt;0,Tableau3384[[#This Row],[Montant
CHF]],""),"")</f>
        <v/>
      </c>
      <c r="S47" s="142"/>
      <c r="T47" s="95" t="str">
        <f>IF(Tableau3384[[#This Row],[Paiements prevus]]="oui",Tableau3384[[#This Row],[Montant prevu à payer CH]],"")</f>
        <v/>
      </c>
      <c r="U47" s="176"/>
      <c r="V47" s="73"/>
      <c r="W47" s="68"/>
      <c r="X47" s="23">
        <v>45338</v>
      </c>
      <c r="Y47" s="7" t="s">
        <v>58</v>
      </c>
      <c r="Z47" s="120" t="str">
        <f>IF(Tableau3384[[#This Row],[Méthode du paiement]]="Mastercard","OUI","")</f>
        <v/>
      </c>
      <c r="AA47" s="6" t="s">
        <v>4</v>
      </c>
      <c r="AB47" s="6" t="s">
        <v>36</v>
      </c>
    </row>
    <row r="48" spans="1:28" hidden="1" x14ac:dyDescent="0.25">
      <c r="A48" s="9" t="s">
        <v>28</v>
      </c>
      <c r="B48" s="21">
        <v>45303</v>
      </c>
      <c r="C48" s="21">
        <v>45306</v>
      </c>
      <c r="D48" s="22" t="s">
        <v>29</v>
      </c>
      <c r="E48" s="11">
        <v>1196.2</v>
      </c>
      <c r="F48" s="88">
        <v>8.1</v>
      </c>
      <c r="G48" s="80"/>
      <c r="H48" s="136">
        <f>Tableau3384[[#This Row],[Montant
CHF]]+Tableau3384[[#This Row],[Abzug/Spesen
CHF]]</f>
        <v>1196.2</v>
      </c>
      <c r="I48" s="39"/>
      <c r="J48" s="40"/>
      <c r="K48" s="189"/>
      <c r="L48" s="298"/>
      <c r="M48" s="81"/>
      <c r="N48" s="21">
        <v>45313</v>
      </c>
      <c r="O48" s="282" t="str">
        <f>IF(Tableau3384[[#This Row],[Date du paiement]]&gt;0,"",Tableau3384[[#This Row],[Montant
CHF]])</f>
        <v/>
      </c>
      <c r="P48" s="276" t="str">
        <f>IF(Tableau3384[[#This Row],[Date du paiement]]="",$B$4-Tableau3384[[#This Row],[Écheance]],"")</f>
        <v/>
      </c>
      <c r="Q48" s="168" t="str">
        <f>IF(Tableau3384[[#This Row],[Date du paiement]]="",IF(Tableau3384[[#This Row],[jours jusqu''à l''écheance]]&gt;0,Tableau3384[[#This Row],[Montant
CHF]],""),"")</f>
        <v/>
      </c>
      <c r="R48" s="298" t="str">
        <f>IF(Tableau3384[[#This Row],[Date du paiement]]="",IF(Tableau3384[[#This Row],[jours jusqu''à l''écheance]]-($B$4-$B$11-1)&gt;0,Tableau3384[[#This Row],[Montant
CHF]],""),"")</f>
        <v/>
      </c>
      <c r="S48" s="142"/>
      <c r="T48" s="95" t="str">
        <f>IF(Tableau3384[[#This Row],[Paiements prevus]]="oui",Tableau3384[[#This Row],[Montant prevu à payer CH]],"")</f>
        <v/>
      </c>
      <c r="U48" s="176"/>
      <c r="V48" s="73"/>
      <c r="W48" s="68"/>
      <c r="X48" s="23">
        <v>45338</v>
      </c>
      <c r="Y48" s="7" t="s">
        <v>58</v>
      </c>
      <c r="Z48" s="120" t="str">
        <f>IF(Tableau3384[[#This Row],[Méthode du paiement]]="Mastercard","OUI","")</f>
        <v/>
      </c>
      <c r="AA48" s="6" t="s">
        <v>30</v>
      </c>
      <c r="AB48" s="6" t="s">
        <v>31</v>
      </c>
    </row>
    <row r="49" spans="1:28" hidden="1" x14ac:dyDescent="0.25">
      <c r="A49" s="9" t="s">
        <v>56</v>
      </c>
      <c r="B49" s="21">
        <v>45303</v>
      </c>
      <c r="C49" s="21">
        <v>45307</v>
      </c>
      <c r="D49" s="22" t="s">
        <v>57</v>
      </c>
      <c r="E49" s="11">
        <v>396.9</v>
      </c>
      <c r="F49" s="88" t="s">
        <v>0</v>
      </c>
      <c r="G49" s="80"/>
      <c r="H49" s="136">
        <f>Tableau3384[[#This Row],[Montant
CHF]]+Tableau3384[[#This Row],[Abzug/Spesen
CHF]]</f>
        <v>396.9</v>
      </c>
      <c r="I49" s="39"/>
      <c r="J49" s="40"/>
      <c r="K49" s="189"/>
      <c r="L49" s="298"/>
      <c r="M49" s="81"/>
      <c r="N49" s="21">
        <v>45324</v>
      </c>
      <c r="O49" s="282" t="str">
        <f>IF(Tableau3384[[#This Row],[Date du paiement]]&gt;0,"",Tableau3384[[#This Row],[Montant
CHF]])</f>
        <v/>
      </c>
      <c r="P49" s="276" t="str">
        <f>IF(Tableau3384[[#This Row],[Date du paiement]]="",$B$4-Tableau3384[[#This Row],[Écheance]],"")</f>
        <v/>
      </c>
      <c r="Q49" s="168" t="str">
        <f>IF(Tableau3384[[#This Row],[Date du paiement]]="",IF(Tableau3384[[#This Row],[jours jusqu''à l''écheance]]&gt;0,Tableau3384[[#This Row],[Montant
CHF]],""),"")</f>
        <v/>
      </c>
      <c r="R49" s="298" t="str">
        <f>IF(Tableau3384[[#This Row],[Date du paiement]]="",IF(Tableau3384[[#This Row],[jours jusqu''à l''écheance]]-($B$4-$B$11-1)&gt;0,Tableau3384[[#This Row],[Montant
CHF]],""),"")</f>
        <v/>
      </c>
      <c r="S49" s="142"/>
      <c r="T49" s="95" t="str">
        <f>IF(Tableau3384[[#This Row],[Paiements prevus]]="oui",Tableau3384[[#This Row],[Montant prevu à payer CH]],"")</f>
        <v/>
      </c>
      <c r="U49" s="176">
        <v>2023</v>
      </c>
      <c r="V49" s="73"/>
      <c r="W49" s="68"/>
      <c r="X49" s="23">
        <v>45327</v>
      </c>
      <c r="Y49" s="7" t="s">
        <v>58</v>
      </c>
      <c r="Z49" s="120" t="str">
        <f>IF(Tableau3384[[#This Row],[Méthode du paiement]]="Mastercard","OUI","")</f>
        <v/>
      </c>
      <c r="AA49" s="6" t="s">
        <v>43</v>
      </c>
      <c r="AB49" s="6" t="s">
        <v>40</v>
      </c>
    </row>
    <row r="50" spans="1:28" hidden="1" x14ac:dyDescent="0.25">
      <c r="A50" s="9" t="s">
        <v>24</v>
      </c>
      <c r="B50" s="21">
        <v>45306</v>
      </c>
      <c r="C50" s="21">
        <v>45306</v>
      </c>
      <c r="D50" s="22" t="s">
        <v>25</v>
      </c>
      <c r="E50" s="11">
        <v>40</v>
      </c>
      <c r="F50" s="88">
        <v>0</v>
      </c>
      <c r="G50" s="80"/>
      <c r="H50" s="136">
        <f>Tableau3384[[#This Row],[Montant
CHF]]+Tableau3384[[#This Row],[Abzug/Spesen
CHF]]</f>
        <v>40</v>
      </c>
      <c r="I50" s="39"/>
      <c r="J50" s="40"/>
      <c r="K50" s="189"/>
      <c r="L50" s="298"/>
      <c r="M50" s="81"/>
      <c r="N50" s="21">
        <v>45327</v>
      </c>
      <c r="O50" s="282" t="str">
        <f>IF(Tableau3384[[#This Row],[Date du paiement]]&gt;0,"",Tableau3384[[#This Row],[Montant
CHF]])</f>
        <v/>
      </c>
      <c r="P50" s="276" t="str">
        <f>IF(Tableau3384[[#This Row],[Date du paiement]]="",$B$4-Tableau3384[[#This Row],[Écheance]],"")</f>
        <v/>
      </c>
      <c r="Q50" s="168" t="str">
        <f>IF(Tableau3384[[#This Row],[Date du paiement]]="",IF(Tableau3384[[#This Row],[jours jusqu''à l''écheance]]&gt;0,Tableau3384[[#This Row],[Montant
CHF]],""),"")</f>
        <v/>
      </c>
      <c r="R50" s="298" t="str">
        <f>IF(Tableau3384[[#This Row],[Date du paiement]]="",IF(Tableau3384[[#This Row],[jours jusqu''à l''écheance]]-($B$4-$B$11-1)&gt;0,Tableau3384[[#This Row],[Montant
CHF]],""),"")</f>
        <v/>
      </c>
      <c r="S50" s="142"/>
      <c r="T50" s="95" t="str">
        <f>IF(Tableau3384[[#This Row],[Paiements prevus]]="oui",Tableau3384[[#This Row],[Montant prevu à payer CH]],"")</f>
        <v/>
      </c>
      <c r="U50" s="176"/>
      <c r="V50" s="73"/>
      <c r="W50" s="68"/>
      <c r="X50" s="23">
        <v>45338</v>
      </c>
      <c r="Y50" s="7" t="s">
        <v>58</v>
      </c>
      <c r="Z50" s="120" t="str">
        <f>IF(Tableau3384[[#This Row],[Méthode du paiement]]="Mastercard","OUI","")</f>
        <v/>
      </c>
      <c r="AA50" s="6" t="s">
        <v>26</v>
      </c>
      <c r="AB50" s="6" t="s">
        <v>27</v>
      </c>
    </row>
    <row r="51" spans="1:28" hidden="1" x14ac:dyDescent="0.25">
      <c r="A51" s="9" t="s">
        <v>85</v>
      </c>
      <c r="B51" s="21">
        <v>45306</v>
      </c>
      <c r="C51" s="21">
        <v>45310</v>
      </c>
      <c r="D51" s="22" t="s">
        <v>5</v>
      </c>
      <c r="E51" s="11">
        <v>118.15</v>
      </c>
      <c r="F51" s="88">
        <v>0</v>
      </c>
      <c r="G51" s="80"/>
      <c r="H51" s="136">
        <f>Tableau3384[[#This Row],[Montant
CHF]]+Tableau3384[[#This Row],[Abzug/Spesen
CHF]]</f>
        <v>118.15</v>
      </c>
      <c r="I51" s="39"/>
      <c r="J51" s="40"/>
      <c r="K51" s="189"/>
      <c r="L51" s="298"/>
      <c r="M51" s="81"/>
      <c r="N51" s="21">
        <v>45306</v>
      </c>
      <c r="O51" s="282" t="str">
        <f>IF(Tableau3384[[#This Row],[Date du paiement]]&gt;0,"",Tableau3384[[#This Row],[Montant
CHF]])</f>
        <v/>
      </c>
      <c r="P51" s="276" t="str">
        <f>IF(Tableau3384[[#This Row],[Date du paiement]]="",$B$4-Tableau3384[[#This Row],[Écheance]],"")</f>
        <v/>
      </c>
      <c r="Q51" s="168" t="str">
        <f>IF(Tableau3384[[#This Row],[Date du paiement]]="",IF(Tableau3384[[#This Row],[jours jusqu''à l''écheance]]&gt;0,Tableau3384[[#This Row],[Montant
CHF]],""),"")</f>
        <v/>
      </c>
      <c r="R51" s="298" t="str">
        <f>IF(Tableau3384[[#This Row],[Date du paiement]]="",IF(Tableau3384[[#This Row],[jours jusqu''à l''écheance]]-($B$4-$B$11-1)&gt;0,Tableau3384[[#This Row],[Montant
CHF]],""),"")</f>
        <v/>
      </c>
      <c r="S51" s="142"/>
      <c r="T51" s="95" t="str">
        <f>IF(Tableau3384[[#This Row],[Paiements prevus]]="oui",Tableau3384[[#This Row],[Montant prevu à payer CH]],"")</f>
        <v/>
      </c>
      <c r="U51" s="176">
        <v>2023</v>
      </c>
      <c r="V51" s="73"/>
      <c r="W51" s="68"/>
      <c r="X51" s="23">
        <v>45338</v>
      </c>
      <c r="Y51" s="7" t="s">
        <v>58</v>
      </c>
      <c r="Z51" s="120" t="str">
        <f>IF(Tableau3384[[#This Row],[Méthode du paiement]]="Mastercard","OUI","")</f>
        <v/>
      </c>
      <c r="AA51" s="6" t="s">
        <v>4</v>
      </c>
      <c r="AB51" s="6" t="s">
        <v>86</v>
      </c>
    </row>
    <row r="52" spans="1:28" hidden="1" x14ac:dyDescent="0.25">
      <c r="A52" s="9" t="s">
        <v>82</v>
      </c>
      <c r="B52" s="21">
        <v>45306</v>
      </c>
      <c r="C52" s="21">
        <v>45310</v>
      </c>
      <c r="D52" s="22" t="s">
        <v>83</v>
      </c>
      <c r="E52" s="11">
        <v>267.7</v>
      </c>
      <c r="F52" s="88">
        <v>0</v>
      </c>
      <c r="G52" s="80"/>
      <c r="H52" s="136">
        <f>Tableau3384[[#This Row],[Montant
CHF]]+Tableau3384[[#This Row],[Abzug/Spesen
CHF]]</f>
        <v>267.7</v>
      </c>
      <c r="I52" s="39"/>
      <c r="J52" s="40"/>
      <c r="K52" s="189"/>
      <c r="L52" s="298"/>
      <c r="M52" s="81"/>
      <c r="N52" s="21">
        <v>45336</v>
      </c>
      <c r="O52" s="282" t="str">
        <f>IF(Tableau3384[[#This Row],[Date du paiement]]&gt;0,"",Tableau3384[[#This Row],[Montant
CHF]])</f>
        <v/>
      </c>
      <c r="P52" s="276" t="str">
        <f>IF(Tableau3384[[#This Row],[Date du paiement]]="",$B$4-Tableau3384[[#This Row],[Écheance]],"")</f>
        <v/>
      </c>
      <c r="Q52" s="168" t="str">
        <f>IF(Tableau3384[[#This Row],[Date du paiement]]="",IF(Tableau3384[[#This Row],[jours jusqu''à l''écheance]]&gt;0,Tableau3384[[#This Row],[Montant
CHF]],""),"")</f>
        <v/>
      </c>
      <c r="R52" s="298" t="str">
        <f>IF(Tableau3384[[#This Row],[Date du paiement]]="",IF(Tableau3384[[#This Row],[jours jusqu''à l''écheance]]-($B$4-$B$11-1)&gt;0,Tableau3384[[#This Row],[Montant
CHF]],""),"")</f>
        <v/>
      </c>
      <c r="S52" s="142"/>
      <c r="T52" s="95" t="str">
        <f>IF(Tableau3384[[#This Row],[Paiements prevus]]="oui",Tableau3384[[#This Row],[Montant prevu à payer CH]],"")</f>
        <v/>
      </c>
      <c r="U52" s="129">
        <v>2023</v>
      </c>
      <c r="V52" s="73"/>
      <c r="W52" s="68"/>
      <c r="X52" s="23">
        <v>45338</v>
      </c>
      <c r="Y52" s="7" t="s">
        <v>58</v>
      </c>
      <c r="Z52" s="120" t="str">
        <f>IF(Tableau3384[[#This Row],[Méthode du paiement]]="Mastercard","OUI","")</f>
        <v/>
      </c>
      <c r="AA52" s="6" t="s">
        <v>43</v>
      </c>
      <c r="AB52" s="6" t="s">
        <v>84</v>
      </c>
    </row>
    <row r="53" spans="1:28" hidden="1" x14ac:dyDescent="0.25">
      <c r="A53" s="9" t="s">
        <v>59</v>
      </c>
      <c r="B53" s="21">
        <v>45307</v>
      </c>
      <c r="C53" s="21">
        <v>45308</v>
      </c>
      <c r="D53" s="22" t="s">
        <v>60</v>
      </c>
      <c r="E53" s="11">
        <f>Tableau3384[[#This Row],[Montant
EUR]]*Tableau3384[[#This Row],[Taux 
de change]]</f>
        <v>3563.6193532399998</v>
      </c>
      <c r="F53" s="88">
        <v>0</v>
      </c>
      <c r="G53" s="80"/>
      <c r="H53" s="136">
        <f>Tableau3384[[#This Row],[Montant
CHF]]+Tableau3384[[#This Row],[Abzug/Spesen
CHF]]</f>
        <v>3563.6193532399998</v>
      </c>
      <c r="I53" s="39">
        <v>0.95090200000000003</v>
      </c>
      <c r="J53" s="40">
        <v>3747.62</v>
      </c>
      <c r="K53" s="189"/>
      <c r="L53" s="298"/>
      <c r="M53" s="81"/>
      <c r="N53" s="21">
        <v>45307</v>
      </c>
      <c r="O53" s="282" t="str">
        <f>IF(Tableau3384[[#This Row],[Date du paiement]]&gt;0,"",Tableau3384[[#This Row],[Montant
CHF]])</f>
        <v/>
      </c>
      <c r="P53" s="276" t="str">
        <f>IF(Tableau3384[[#This Row],[Date du paiement]]="",$B$4-Tableau3384[[#This Row],[Écheance]],"")</f>
        <v/>
      </c>
      <c r="Q53" s="168" t="str">
        <f>IF(Tableau3384[[#This Row],[Date du paiement]]="",IF(Tableau3384[[#This Row],[jours jusqu''à l''écheance]]&gt;0,Tableau3384[[#This Row],[Montant
CHF]],""),"")</f>
        <v/>
      </c>
      <c r="R53" s="298" t="str">
        <f>IF(Tableau3384[[#This Row],[Date du paiement]]="",IF(Tableau3384[[#This Row],[jours jusqu''à l''écheance]]-($B$4-$B$11-1)&gt;0,Tableau3384[[#This Row],[Montant
CHF]],""),"")</f>
        <v/>
      </c>
      <c r="S53" s="142"/>
      <c r="T53" s="95" t="str">
        <f>IF(Tableau3384[[#This Row],[Paiements prevus]]="oui",Tableau3384[[#This Row],[Montant prevu à payer CH]],"")</f>
        <v/>
      </c>
      <c r="U53" s="129"/>
      <c r="V53" s="73"/>
      <c r="W53" s="68"/>
      <c r="X53" s="23">
        <v>45338</v>
      </c>
      <c r="Y53" s="7" t="s">
        <v>58</v>
      </c>
      <c r="Z53" s="120" t="str">
        <f>IF(Tableau3384[[#This Row],[Méthode du paiement]]="Mastercard","OUI","")</f>
        <v/>
      </c>
      <c r="AA53" s="6" t="s">
        <v>14</v>
      </c>
      <c r="AB53" s="6" t="s">
        <v>61</v>
      </c>
    </row>
    <row r="54" spans="1:28" hidden="1" x14ac:dyDescent="0.25">
      <c r="A54" s="9" t="s">
        <v>71</v>
      </c>
      <c r="B54" s="21">
        <v>45308</v>
      </c>
      <c r="C54" s="21">
        <v>45309</v>
      </c>
      <c r="D54" s="22" t="s">
        <v>196</v>
      </c>
      <c r="E54" s="11">
        <v>636.6</v>
      </c>
      <c r="F54" s="88">
        <v>8.1</v>
      </c>
      <c r="G54" s="80"/>
      <c r="H54" s="136">
        <f>Tableau3384[[#This Row],[Montant
CHF]]+Tableau3384[[#This Row],[Abzug/Spesen
CHF]]</f>
        <v>636.6</v>
      </c>
      <c r="I54" s="39"/>
      <c r="J54" s="40"/>
      <c r="K54" s="189"/>
      <c r="L54" s="298"/>
      <c r="M54" s="81"/>
      <c r="N54" s="21">
        <v>45318</v>
      </c>
      <c r="O54" s="282" t="str">
        <f>IF(Tableau3384[[#This Row],[Date du paiement]]&gt;0,"",Tableau3384[[#This Row],[Montant
CHF]])</f>
        <v/>
      </c>
      <c r="P54" s="276" t="str">
        <f>IF(Tableau3384[[#This Row],[Date du paiement]]="",$B$4-Tableau3384[[#This Row],[Écheance]],"")</f>
        <v/>
      </c>
      <c r="Q54" s="168" t="str">
        <f>IF(Tableau3384[[#This Row],[Date du paiement]]="",IF(Tableau3384[[#This Row],[jours jusqu''à l''écheance]]&gt;0,Tableau3384[[#This Row],[Montant
CHF]],""),"")</f>
        <v/>
      </c>
      <c r="R54" s="298" t="str">
        <f>IF(Tableau3384[[#This Row],[Date du paiement]]="",IF(Tableau3384[[#This Row],[jours jusqu''à l''écheance]]-($B$4-$B$11-1)&gt;0,Tableau3384[[#This Row],[Montant
CHF]],""),"")</f>
        <v/>
      </c>
      <c r="S54" s="142"/>
      <c r="T54" s="95" t="str">
        <f>IF(Tableau3384[[#This Row],[Paiements prevus]]="oui",Tableau3384[[#This Row],[Montant prevu à payer CH]],"")</f>
        <v/>
      </c>
      <c r="U54" s="129"/>
      <c r="V54" s="73"/>
      <c r="W54" s="68"/>
      <c r="X54" s="23">
        <v>45341</v>
      </c>
      <c r="Y54" s="7" t="s">
        <v>58</v>
      </c>
      <c r="Z54" s="120" t="str">
        <f>IF(Tableau3384[[#This Row],[Méthode du paiement]]="Mastercard","OUI","")</f>
        <v/>
      </c>
      <c r="AA54" s="6" t="s">
        <v>4</v>
      </c>
      <c r="AB54" s="6" t="s">
        <v>72</v>
      </c>
    </row>
    <row r="55" spans="1:28" hidden="1" x14ac:dyDescent="0.25">
      <c r="A55" s="9" t="s">
        <v>34</v>
      </c>
      <c r="B55" s="21">
        <v>45310</v>
      </c>
      <c r="C55" s="21">
        <v>45310</v>
      </c>
      <c r="D55" s="22" t="s">
        <v>35</v>
      </c>
      <c r="E55" s="11">
        <v>-1062.1500000000001</v>
      </c>
      <c r="F55" s="88">
        <v>0</v>
      </c>
      <c r="G55" s="80"/>
      <c r="H55" s="136">
        <f>Tableau3384[[#This Row],[Montant
CHF]]+Tableau3384[[#This Row],[Abzug/Spesen
CHF]]</f>
        <v>-1062.1500000000001</v>
      </c>
      <c r="I55" s="39"/>
      <c r="J55" s="40"/>
      <c r="K55" s="189"/>
      <c r="L55" s="298"/>
      <c r="M55" s="81" t="s">
        <v>262</v>
      </c>
      <c r="N55" s="21">
        <v>45310</v>
      </c>
      <c r="O55" s="282" t="str">
        <f>IF(Tableau3384[[#This Row],[Date du paiement]]&gt;0,"",Tableau3384[[#This Row],[Montant
CHF]])</f>
        <v/>
      </c>
      <c r="P55" s="276" t="str">
        <f>IF(Tableau3384[[#This Row],[Date du paiement]]="",$B$4-Tableau3384[[#This Row],[Écheance]],"")</f>
        <v/>
      </c>
      <c r="Q55" s="168" t="str">
        <f>IF(Tableau3384[[#This Row],[Date du paiement]]="",IF(Tableau3384[[#This Row],[jours jusqu''à l''écheance]]&gt;0,Tableau3384[[#This Row],[Montant
CHF]],""),"")</f>
        <v/>
      </c>
      <c r="R55" s="298" t="str">
        <f>IF(Tableau3384[[#This Row],[Date du paiement]]="",IF(Tableau3384[[#This Row],[jours jusqu''à l''écheance]]-($B$4-$B$11-1)&gt;0,Tableau3384[[#This Row],[Montant
CHF]],""),"")</f>
        <v/>
      </c>
      <c r="S55" s="142"/>
      <c r="T55" s="95" t="str">
        <f>IF(Tableau3384[[#This Row],[Paiements prevus]]="oui",Tableau3384[[#This Row],[Montant prevu à payer CH]],"")</f>
        <v/>
      </c>
      <c r="U55" s="129">
        <v>2023</v>
      </c>
      <c r="V55" s="73"/>
      <c r="W55" s="68"/>
      <c r="X55" s="23">
        <v>45310</v>
      </c>
      <c r="Y55" s="7" t="s">
        <v>58</v>
      </c>
      <c r="Z55" s="120" t="str">
        <f>IF(Tableau3384[[#This Row],[Méthode du paiement]]="Mastercard","OUI","")</f>
        <v/>
      </c>
      <c r="AA55" s="6" t="s">
        <v>4</v>
      </c>
      <c r="AB55" s="6" t="s">
        <v>263</v>
      </c>
    </row>
    <row r="56" spans="1:28" hidden="1" x14ac:dyDescent="0.25">
      <c r="A56" s="9" t="s">
        <v>217</v>
      </c>
      <c r="B56" s="21">
        <v>45313</v>
      </c>
      <c r="C56" s="21">
        <v>45313</v>
      </c>
      <c r="D56" s="22" t="s">
        <v>216</v>
      </c>
      <c r="E56" s="11">
        <v>1649.5</v>
      </c>
      <c r="F56" s="88">
        <v>100</v>
      </c>
      <c r="G56" s="80"/>
      <c r="H56" s="136">
        <f>Tableau3384[[#This Row],[Montant
CHF]]+Tableau3384[[#This Row],[Abzug/Spesen
CHF]]</f>
        <v>1649.5</v>
      </c>
      <c r="I56" s="39"/>
      <c r="J56" s="40"/>
      <c r="K56" s="189"/>
      <c r="L56" s="298"/>
      <c r="M56" s="81"/>
      <c r="N56" s="21">
        <v>45373</v>
      </c>
      <c r="O56" s="282" t="str">
        <f>IF(Tableau3384[[#This Row],[Date du paiement]]&gt;0,"",Tableau3384[[#This Row],[Montant
CHF]])</f>
        <v/>
      </c>
      <c r="P56" s="276" t="str">
        <f>IF(Tableau3384[[#This Row],[Date du paiement]]="",$B$4-Tableau3384[[#This Row],[Écheance]],"")</f>
        <v/>
      </c>
      <c r="Q56" s="168" t="str">
        <f>IF(Tableau3384[[#This Row],[Date du paiement]]="",IF(Tableau3384[[#This Row],[jours jusqu''à l''écheance]]&gt;0,Tableau3384[[#This Row],[Montant
CHF]],""),"")</f>
        <v/>
      </c>
      <c r="R56" s="298" t="str">
        <f>IF(Tableau3384[[#This Row],[Date du paiement]]="",IF(Tableau3384[[#This Row],[jours jusqu''à l''écheance]]-($B$4-$B$11-1)&gt;0,Tableau3384[[#This Row],[Montant
CHF]],""),"")</f>
        <v/>
      </c>
      <c r="S56" s="142"/>
      <c r="T56" s="95" t="str">
        <f>IF(Tableau3384[[#This Row],[Paiements prevus]]="oui",Tableau3384[[#This Row],[Montant prevu à payer CH]],"")</f>
        <v/>
      </c>
      <c r="U56" s="129"/>
      <c r="V56" s="73"/>
      <c r="W56" s="68"/>
      <c r="X56" s="23">
        <v>45376</v>
      </c>
      <c r="Y56" s="7" t="s">
        <v>58</v>
      </c>
      <c r="Z56" s="120" t="str">
        <f>IF(Tableau3384[[#This Row],[Méthode du paiement]]="Mastercard","OUI","")</f>
        <v/>
      </c>
      <c r="AA56" s="6" t="s">
        <v>604</v>
      </c>
      <c r="AB56" s="6" t="s">
        <v>317</v>
      </c>
    </row>
    <row r="57" spans="1:28" hidden="1" x14ac:dyDescent="0.25">
      <c r="A57" s="9" t="s">
        <v>78</v>
      </c>
      <c r="B57" s="21">
        <v>45314</v>
      </c>
      <c r="C57" s="21">
        <v>45314</v>
      </c>
      <c r="D57" s="22" t="s">
        <v>79</v>
      </c>
      <c r="E57" s="11">
        <v>881</v>
      </c>
      <c r="F57" s="88">
        <v>8.1</v>
      </c>
      <c r="G57" s="80"/>
      <c r="H57" s="136">
        <f>Tableau3384[[#This Row],[Montant
CHF]]+Tableau3384[[#This Row],[Abzug/Spesen
CHF]]</f>
        <v>881</v>
      </c>
      <c r="I57" s="39"/>
      <c r="J57" s="40"/>
      <c r="K57" s="189"/>
      <c r="L57" s="298"/>
      <c r="M57" s="81" t="s">
        <v>81</v>
      </c>
      <c r="N57" s="21">
        <v>45324</v>
      </c>
      <c r="O57" s="282" t="str">
        <f>IF(Tableau3384[[#This Row],[Date du paiement]]&gt;0,"",Tableau3384[[#This Row],[Montant
CHF]])</f>
        <v/>
      </c>
      <c r="P57" s="276" t="str">
        <f>IF(Tableau3384[[#This Row],[Date du paiement]]="",$B$4-Tableau3384[[#This Row],[Écheance]],"")</f>
        <v/>
      </c>
      <c r="Q57" s="168" t="str">
        <f>IF(Tableau3384[[#This Row],[Date du paiement]]="",IF(Tableau3384[[#This Row],[jours jusqu''à l''écheance]]&gt;0,Tableau3384[[#This Row],[Montant
CHF]],""),"")</f>
        <v/>
      </c>
      <c r="R57" s="298" t="str">
        <f>IF(Tableau3384[[#This Row],[Date du paiement]]="",IF(Tableau3384[[#This Row],[jours jusqu''à l''écheance]]-($B$4-$B$11-1)&gt;0,Tableau3384[[#This Row],[Montant
CHF]],""),"")</f>
        <v/>
      </c>
      <c r="S57" s="142"/>
      <c r="T57" s="95" t="str">
        <f>IF(Tableau3384[[#This Row],[Paiements prevus]]="oui",Tableau3384[[#This Row],[Montant prevu à payer CH]],"")</f>
        <v/>
      </c>
      <c r="U57" s="129"/>
      <c r="V57" s="73"/>
      <c r="W57" s="68"/>
      <c r="X57" s="23">
        <v>45345</v>
      </c>
      <c r="Y57" s="7" t="s">
        <v>58</v>
      </c>
      <c r="Z57" s="120" t="str">
        <f>IF(Tableau3384[[#This Row],[Méthode du paiement]]="Mastercard","OUI","")</f>
        <v/>
      </c>
      <c r="AA57" s="180" t="s">
        <v>4</v>
      </c>
      <c r="AB57" s="6" t="s">
        <v>80</v>
      </c>
    </row>
    <row r="58" spans="1:28" hidden="1" x14ac:dyDescent="0.25">
      <c r="A58" s="9" t="s">
        <v>215</v>
      </c>
      <c r="B58" s="21">
        <v>45315</v>
      </c>
      <c r="C58" s="21">
        <v>45315</v>
      </c>
      <c r="D58" s="22" t="s">
        <v>216</v>
      </c>
      <c r="E58" s="11">
        <v>287.3</v>
      </c>
      <c r="F58" s="88">
        <v>100</v>
      </c>
      <c r="G58" s="80"/>
      <c r="H58" s="136">
        <f>Tableau3384[[#This Row],[Montant
CHF]]+Tableau3384[[#This Row],[Abzug/Spesen
CHF]]</f>
        <v>287.3</v>
      </c>
      <c r="I58" s="39"/>
      <c r="J58" s="40"/>
      <c r="K58" s="189"/>
      <c r="L58" s="298"/>
      <c r="M58" s="81"/>
      <c r="N58" s="21">
        <v>45376</v>
      </c>
      <c r="O58" s="282" t="str">
        <f>IF(Tableau3384[[#This Row],[Date du paiement]]&gt;0,"",Tableau3384[[#This Row],[Montant
CHF]])</f>
        <v/>
      </c>
      <c r="P58" s="276" t="str">
        <f>IF(Tableau3384[[#This Row],[Date du paiement]]="",$B$4-Tableau3384[[#This Row],[Écheance]],"")</f>
        <v/>
      </c>
      <c r="Q58" s="168" t="str">
        <f>IF(Tableau3384[[#This Row],[Date du paiement]]="",IF(Tableau3384[[#This Row],[jours jusqu''à l''écheance]]&gt;0,Tableau3384[[#This Row],[Montant
CHF]],""),"")</f>
        <v/>
      </c>
      <c r="R58" s="298" t="str">
        <f>IF(Tableau3384[[#This Row],[Date du paiement]]="",IF(Tableau3384[[#This Row],[jours jusqu''à l''écheance]]-($B$4-$B$11-1)&gt;0,Tableau3384[[#This Row],[Montant
CHF]],""),"")</f>
        <v/>
      </c>
      <c r="S58" s="142"/>
      <c r="T58" s="95" t="str">
        <f>IF(Tableau3384[[#This Row],[Paiements prevus]]="oui",Tableau3384[[#This Row],[Montant prevu à payer CH]],"")</f>
        <v/>
      </c>
      <c r="U58" s="129"/>
      <c r="V58" s="73"/>
      <c r="W58" s="68"/>
      <c r="X58" s="23">
        <v>45376</v>
      </c>
      <c r="Y58" s="7" t="s">
        <v>58</v>
      </c>
      <c r="Z58" s="120" t="str">
        <f>IF(Tableau3384[[#This Row],[Méthode du paiement]]="Mastercard","OUI","")</f>
        <v/>
      </c>
      <c r="AA58" s="6" t="s">
        <v>604</v>
      </c>
      <c r="AB58" s="6" t="s">
        <v>316</v>
      </c>
    </row>
    <row r="59" spans="1:28" hidden="1" x14ac:dyDescent="0.25">
      <c r="A59" s="9" t="s">
        <v>88</v>
      </c>
      <c r="B59" s="21">
        <v>45315</v>
      </c>
      <c r="C59" s="21">
        <v>45323</v>
      </c>
      <c r="D59" s="22" t="s">
        <v>90</v>
      </c>
      <c r="E59" s="11">
        <f>Tableau3384[[#This Row],[Montant
EUR]]*Tableau3384[[#This Row],[Taux 
de change]]</f>
        <v>10584.159994760001</v>
      </c>
      <c r="F59" s="88">
        <v>0</v>
      </c>
      <c r="G59" s="80"/>
      <c r="H59" s="136">
        <f>Tableau3384[[#This Row],[Montant
CHF]]+Tableau3384[[#This Row],[Abzug/Spesen
CHF]]</f>
        <v>10584.159994760001</v>
      </c>
      <c r="I59" s="39">
        <v>0.95524909700000005</v>
      </c>
      <c r="J59" s="40">
        <v>11080</v>
      </c>
      <c r="K59" s="189"/>
      <c r="L59" s="298"/>
      <c r="M59" s="81"/>
      <c r="N59" s="21">
        <v>45322</v>
      </c>
      <c r="O59" s="282" t="str">
        <f>IF(Tableau3384[[#This Row],[Date du paiement]]&gt;0,"",Tableau3384[[#This Row],[Montant
CHF]])</f>
        <v/>
      </c>
      <c r="P59" s="276" t="str">
        <f>IF(Tableau3384[[#This Row],[Date du paiement]]="",$B$4-Tableau3384[[#This Row],[Écheance]],"")</f>
        <v/>
      </c>
      <c r="Q59" s="168" t="str">
        <f>IF(Tableau3384[[#This Row],[Date du paiement]]="",IF(Tableau3384[[#This Row],[jours jusqu''à l''écheance]]&gt;0,Tableau3384[[#This Row],[Montant
CHF]],""),"")</f>
        <v/>
      </c>
      <c r="R59" s="298" t="str">
        <f>IF(Tableau3384[[#This Row],[Date du paiement]]="",IF(Tableau3384[[#This Row],[jours jusqu''à l''écheance]]-($B$4-$B$11-1)&gt;0,Tableau3384[[#This Row],[Montant
CHF]],""),"")</f>
        <v/>
      </c>
      <c r="S59" s="142"/>
      <c r="T59" s="95" t="str">
        <f>IF(Tableau3384[[#This Row],[Paiements prevus]]="oui",Tableau3384[[#This Row],[Montant prevu à payer CH]],"")</f>
        <v/>
      </c>
      <c r="U59" s="129"/>
      <c r="V59" s="73"/>
      <c r="W59" s="68"/>
      <c r="X59" s="23">
        <v>45344</v>
      </c>
      <c r="Y59" s="7" t="s">
        <v>58</v>
      </c>
      <c r="Z59" s="120" t="str">
        <f>IF(Tableau3384[[#This Row],[Méthode du paiement]]="Mastercard","OUI","")</f>
        <v/>
      </c>
      <c r="AA59" s="6" t="s">
        <v>14</v>
      </c>
      <c r="AB59" s="6" t="s">
        <v>89</v>
      </c>
    </row>
    <row r="60" spans="1:28" hidden="1" x14ac:dyDescent="0.25">
      <c r="A60" s="9" t="s">
        <v>73</v>
      </c>
      <c r="B60" s="21">
        <v>45316</v>
      </c>
      <c r="C60" s="21">
        <v>45316</v>
      </c>
      <c r="D60" s="22" t="s">
        <v>74</v>
      </c>
      <c r="E60" s="11">
        <v>6038.45</v>
      </c>
      <c r="F60" s="88">
        <v>8.1</v>
      </c>
      <c r="G60" s="80"/>
      <c r="H60" s="136">
        <f>Tableau3384[[#This Row],[Montant
CHF]]+Tableau3384[[#This Row],[Abzug/Spesen
CHF]]</f>
        <v>6038.45</v>
      </c>
      <c r="I60" s="39"/>
      <c r="J60" s="40"/>
      <c r="K60" s="189"/>
      <c r="L60" s="298"/>
      <c r="M60" s="81"/>
      <c r="N60" s="21">
        <v>45345</v>
      </c>
      <c r="O60" s="282" t="str">
        <f>IF(Tableau3384[[#This Row],[Date du paiement]]&gt;0,"",Tableau3384[[#This Row],[Montant
CHF]])</f>
        <v/>
      </c>
      <c r="P60" s="276" t="str">
        <f>IF(Tableau3384[[#This Row],[Date du paiement]]="",$B$4-Tableau3384[[#This Row],[Écheance]],"")</f>
        <v/>
      </c>
      <c r="Q60" s="168" t="str">
        <f>IF(Tableau3384[[#This Row],[Date du paiement]]="",IF(Tableau3384[[#This Row],[jours jusqu''à l''écheance]]&gt;0,Tableau3384[[#This Row],[Montant
CHF]],""),"")</f>
        <v/>
      </c>
      <c r="R60" s="298" t="str">
        <f>IF(Tableau3384[[#This Row],[Date du paiement]]="",IF(Tableau3384[[#This Row],[jours jusqu''à l''écheance]]-($B$4-$B$11-1)&gt;0,Tableau3384[[#This Row],[Montant
CHF]],""),"")</f>
        <v/>
      </c>
      <c r="S60" s="142"/>
      <c r="T60" s="95" t="str">
        <f>IF(Tableau3384[[#This Row],[Paiements prevus]]="oui",Tableau3384[[#This Row],[Montant prevu à payer CH]],"")</f>
        <v/>
      </c>
      <c r="U60" s="129"/>
      <c r="V60" s="73"/>
      <c r="W60" s="68"/>
      <c r="X60" s="23">
        <v>45348</v>
      </c>
      <c r="Y60" s="7" t="s">
        <v>58</v>
      </c>
      <c r="Z60" s="120" t="str">
        <f>IF(Tableau3384[[#This Row],[Méthode du paiement]]="Mastercard","OUI","")</f>
        <v/>
      </c>
      <c r="AA60" s="6" t="s">
        <v>14</v>
      </c>
      <c r="AB60" s="6" t="s">
        <v>75</v>
      </c>
    </row>
    <row r="61" spans="1:28" hidden="1" x14ac:dyDescent="0.25">
      <c r="A61" s="9" t="s">
        <v>110</v>
      </c>
      <c r="B61" s="21">
        <v>45316</v>
      </c>
      <c r="C61" s="21">
        <v>45327</v>
      </c>
      <c r="D61" s="22" t="s">
        <v>111</v>
      </c>
      <c r="E61" s="11">
        <v>165</v>
      </c>
      <c r="F61" s="88">
        <v>0</v>
      </c>
      <c r="G61" s="80"/>
      <c r="H61" s="136">
        <f>Tableau3384[[#This Row],[Montant
CHF]]+Tableau3384[[#This Row],[Abzug/Spesen
CHF]]</f>
        <v>165</v>
      </c>
      <c r="I61" s="39"/>
      <c r="J61" s="40"/>
      <c r="K61" s="189"/>
      <c r="L61" s="298"/>
      <c r="M61" s="81"/>
      <c r="N61" s="21">
        <v>45356</v>
      </c>
      <c r="O61" s="282" t="str">
        <f>IF(Tableau3384[[#This Row],[Date du paiement]]&gt;0,"",Tableau3384[[#This Row],[Montant
CHF]])</f>
        <v/>
      </c>
      <c r="P61" s="276" t="str">
        <f>IF(Tableau3384[[#This Row],[Date du paiement]]="",$B$4-Tableau3384[[#This Row],[Écheance]],"")</f>
        <v/>
      </c>
      <c r="Q61" s="168" t="str">
        <f>IF(Tableau3384[[#This Row],[Date du paiement]]="",IF(Tableau3384[[#This Row],[jours jusqu''à l''écheance]]&gt;0,Tableau3384[[#This Row],[Montant
CHF]],""),"")</f>
        <v/>
      </c>
      <c r="R61" s="298" t="str">
        <f>IF(Tableau3384[[#This Row],[Date du paiement]]="",IF(Tableau3384[[#This Row],[jours jusqu''à l''écheance]]-($B$4-$B$11-1)&gt;0,Tableau3384[[#This Row],[Montant
CHF]],""),"")</f>
        <v/>
      </c>
      <c r="S61" s="142"/>
      <c r="T61" s="95" t="str">
        <f>IF(Tableau3384[[#This Row],[Paiements prevus]]="oui",Tableau3384[[#This Row],[Montant prevu à payer CH]],"")</f>
        <v/>
      </c>
      <c r="U61" s="129"/>
      <c r="V61" s="73"/>
      <c r="W61" s="68"/>
      <c r="X61" s="23">
        <v>45356</v>
      </c>
      <c r="Y61" s="7" t="s">
        <v>58</v>
      </c>
      <c r="Z61" s="120" t="str">
        <f>IF(Tableau3384[[#This Row],[Méthode du paiement]]="Mastercard","OUI","")</f>
        <v/>
      </c>
      <c r="AA61" s="6" t="s">
        <v>43</v>
      </c>
      <c r="AB61" s="6" t="s">
        <v>1663</v>
      </c>
    </row>
    <row r="62" spans="1:28" hidden="1" x14ac:dyDescent="0.25">
      <c r="A62" s="9" t="s">
        <v>167</v>
      </c>
      <c r="B62" s="21">
        <v>45316</v>
      </c>
      <c r="C62" s="21">
        <v>45345</v>
      </c>
      <c r="D62" s="22" t="s">
        <v>169</v>
      </c>
      <c r="E62" s="11">
        <v>190</v>
      </c>
      <c r="F62" s="88">
        <v>0</v>
      </c>
      <c r="G62" s="80"/>
      <c r="H62" s="136">
        <f>Tableau3384[[#This Row],[Montant
CHF]]+Tableau3384[[#This Row],[Abzug/Spesen
CHF]]</f>
        <v>190</v>
      </c>
      <c r="I62" s="39"/>
      <c r="J62" s="40"/>
      <c r="K62" s="189"/>
      <c r="L62" s="298"/>
      <c r="M62" s="81"/>
      <c r="N62" s="21">
        <v>45347</v>
      </c>
      <c r="O62" s="282" t="str">
        <f>IF(Tableau3384[[#This Row],[Date du paiement]]&gt;0,"",Tableau3384[[#This Row],[Montant
CHF]])</f>
        <v/>
      </c>
      <c r="P62" s="276" t="str">
        <f>IF(Tableau3384[[#This Row],[Date du paiement]]="",$B$4-Tableau3384[[#This Row],[Écheance]],"")</f>
        <v/>
      </c>
      <c r="Q62" s="168" t="str">
        <f>IF(Tableau3384[[#This Row],[Date du paiement]]="",IF(Tableau3384[[#This Row],[jours jusqu''à l''écheance]]&gt;0,Tableau3384[[#This Row],[Montant
CHF]],""),"")</f>
        <v/>
      </c>
      <c r="R62" s="298" t="str">
        <f>IF(Tableau3384[[#This Row],[Date du paiement]]="",IF(Tableau3384[[#This Row],[jours jusqu''à l''écheance]]-($B$4-$B$11-1)&gt;0,Tableau3384[[#This Row],[Montant
CHF]],""),"")</f>
        <v/>
      </c>
      <c r="S62" s="142"/>
      <c r="T62" s="95" t="str">
        <f>IF(Tableau3384[[#This Row],[Paiements prevus]]="oui",Tableau3384[[#This Row],[Montant prevu à payer CH]],"")</f>
        <v/>
      </c>
      <c r="U62" s="129"/>
      <c r="V62" s="73"/>
      <c r="W62" s="68"/>
      <c r="X62" s="23">
        <v>45359</v>
      </c>
      <c r="Y62" s="7" t="s">
        <v>58</v>
      </c>
      <c r="Z62" s="120" t="str">
        <f>IF(Tableau3384[[#This Row],[Méthode du paiement]]="Mastercard","OUI","")</f>
        <v/>
      </c>
      <c r="AA62" s="6" t="s">
        <v>43</v>
      </c>
      <c r="AB62" s="6" t="s">
        <v>8</v>
      </c>
    </row>
    <row r="63" spans="1:28" hidden="1" x14ac:dyDescent="0.25">
      <c r="A63" s="9" t="s">
        <v>76</v>
      </c>
      <c r="B63" s="21">
        <v>45317</v>
      </c>
      <c r="C63" s="21">
        <v>45317</v>
      </c>
      <c r="D63" s="22" t="s">
        <v>196</v>
      </c>
      <c r="E63" s="11">
        <v>400.15</v>
      </c>
      <c r="F63" s="88">
        <v>8.1</v>
      </c>
      <c r="G63" s="80"/>
      <c r="H63" s="136">
        <f>Tableau3384[[#This Row],[Montant
CHF]]+Tableau3384[[#This Row],[Abzug/Spesen
CHF]]</f>
        <v>400.15</v>
      </c>
      <c r="I63" s="39"/>
      <c r="J63" s="40"/>
      <c r="K63" s="189"/>
      <c r="L63" s="298"/>
      <c r="M63" s="81"/>
      <c r="N63" s="21">
        <v>45327</v>
      </c>
      <c r="O63" s="282" t="str">
        <f>IF(Tableau3384[[#This Row],[Date du paiement]]&gt;0,"",Tableau3384[[#This Row],[Montant
CHF]])</f>
        <v/>
      </c>
      <c r="P63" s="276" t="str">
        <f>IF(Tableau3384[[#This Row],[Date du paiement]]="",$B$4-Tableau3384[[#This Row],[Écheance]],"")</f>
        <v/>
      </c>
      <c r="Q63" s="168" t="str">
        <f>IF(Tableau3384[[#This Row],[Date du paiement]]="",IF(Tableau3384[[#This Row],[jours jusqu''à l''écheance]]&gt;0,Tableau3384[[#This Row],[Montant
CHF]],""),"")</f>
        <v/>
      </c>
      <c r="R63" s="298" t="str">
        <f>IF(Tableau3384[[#This Row],[Date du paiement]]="",IF(Tableau3384[[#This Row],[jours jusqu''à l''écheance]]-($B$4-$B$11-1)&gt;0,Tableau3384[[#This Row],[Montant
CHF]],""),"")</f>
        <v/>
      </c>
      <c r="S63" s="142"/>
      <c r="T63" s="95" t="str">
        <f>IF(Tableau3384[[#This Row],[Paiements prevus]]="oui",Tableau3384[[#This Row],[Montant prevu à payer CH]],"")</f>
        <v/>
      </c>
      <c r="U63" s="129"/>
      <c r="V63" s="73"/>
      <c r="W63" s="68"/>
      <c r="X63" s="23">
        <v>45348</v>
      </c>
      <c r="Y63" s="7" t="s">
        <v>58</v>
      </c>
      <c r="Z63" s="120" t="str">
        <f>IF(Tableau3384[[#This Row],[Méthode du paiement]]="Mastercard","OUI","")</f>
        <v/>
      </c>
      <c r="AA63" s="6" t="s">
        <v>4</v>
      </c>
      <c r="AB63" s="6" t="s">
        <v>77</v>
      </c>
    </row>
    <row r="64" spans="1:28" hidden="1" x14ac:dyDescent="0.25">
      <c r="A64" s="9" t="s">
        <v>226</v>
      </c>
      <c r="B64" s="21">
        <v>45321</v>
      </c>
      <c r="C64" s="21">
        <v>45321</v>
      </c>
      <c r="D64" s="22" t="s">
        <v>22</v>
      </c>
      <c r="E64" s="11">
        <v>1154.5</v>
      </c>
      <c r="F64" s="88">
        <v>8.1</v>
      </c>
      <c r="G64" s="80"/>
      <c r="H64" s="136">
        <f>Tableau3384[[#This Row],[Montant
CHF]]+Tableau3384[[#This Row],[Abzug/Spesen
CHF]]</f>
        <v>1154.5</v>
      </c>
      <c r="I64" s="39"/>
      <c r="J64" s="40"/>
      <c r="K64" s="189"/>
      <c r="L64" s="298"/>
      <c r="M64" s="81"/>
      <c r="N64" s="21">
        <v>45351</v>
      </c>
      <c r="O64" s="282" t="str">
        <f>IF(Tableau3384[[#This Row],[Date du paiement]]&gt;0,"",Tableau3384[[#This Row],[Montant
CHF]])</f>
        <v/>
      </c>
      <c r="P64" s="276" t="str">
        <f>IF(Tableau3384[[#This Row],[Date du paiement]]="",$B$4-Tableau3384[[#This Row],[Écheance]],"")</f>
        <v/>
      </c>
      <c r="Q64" s="168" t="str">
        <f>IF(Tableau3384[[#This Row],[Date du paiement]]="",IF(Tableau3384[[#This Row],[jours jusqu''à l''écheance]]&gt;0,Tableau3384[[#This Row],[Montant
CHF]],""),"")</f>
        <v/>
      </c>
      <c r="R64" s="298" t="str">
        <f>IF(Tableau3384[[#This Row],[Date du paiement]]="",IF(Tableau3384[[#This Row],[jours jusqu''à l''écheance]]-($B$4-$B$11-1)&gt;0,Tableau3384[[#This Row],[Montant
CHF]],""),"")</f>
        <v/>
      </c>
      <c r="S64" s="142"/>
      <c r="T64" s="95" t="str">
        <f>IF(Tableau3384[[#This Row],[Paiements prevus]]="oui",Tableau3384[[#This Row],[Montant prevu à payer CH]],"")</f>
        <v/>
      </c>
      <c r="U64" s="129"/>
      <c r="V64" s="73"/>
      <c r="W64" s="68"/>
      <c r="X64" s="23">
        <v>45357</v>
      </c>
      <c r="Y64" s="7" t="s">
        <v>58</v>
      </c>
      <c r="Z64" s="120" t="str">
        <f>IF(Tableau3384[[#This Row],[Méthode du paiement]]="Mastercard","OUI","")</f>
        <v/>
      </c>
      <c r="AA64" s="180" t="s">
        <v>14</v>
      </c>
      <c r="AB64" s="6" t="s">
        <v>227</v>
      </c>
    </row>
    <row r="65" spans="1:35" hidden="1" x14ac:dyDescent="0.25">
      <c r="A65" s="9" t="s">
        <v>226</v>
      </c>
      <c r="B65" s="21">
        <v>45321</v>
      </c>
      <c r="C65" s="21">
        <v>45321</v>
      </c>
      <c r="D65" s="22" t="s">
        <v>22</v>
      </c>
      <c r="E65" s="11">
        <v>1154.5</v>
      </c>
      <c r="F65" s="88">
        <v>8.1</v>
      </c>
      <c r="G65" s="80"/>
      <c r="H65" s="136">
        <f>Tableau3384[[#This Row],[Montant
CHF]]+Tableau3384[[#This Row],[Abzug/Spesen
CHF]]</f>
        <v>1154.5</v>
      </c>
      <c r="I65" s="39"/>
      <c r="J65" s="40"/>
      <c r="K65" s="189"/>
      <c r="L65" s="298"/>
      <c r="M65" s="81"/>
      <c r="N65" s="21">
        <v>45351</v>
      </c>
      <c r="O65" s="282" t="str">
        <f>IF(Tableau3384[[#This Row],[Date du paiement]]&gt;0,"",Tableau3384[[#This Row],[Montant
CHF]])</f>
        <v/>
      </c>
      <c r="P65" s="276" t="str">
        <f>IF(Tableau3384[[#This Row],[Date du paiement]]="",$B$4-Tableau3384[[#This Row],[Écheance]],"")</f>
        <v/>
      </c>
      <c r="Q65" s="168" t="str">
        <f>IF(Tableau3384[[#This Row],[Date du paiement]]="",IF(Tableau3384[[#This Row],[jours jusqu''à l''écheance]]&gt;0,Tableau3384[[#This Row],[Montant
CHF]],""),"")</f>
        <v/>
      </c>
      <c r="R65" s="298" t="str">
        <f>IF(Tableau3384[[#This Row],[Date du paiement]]="",IF(Tableau3384[[#This Row],[jours jusqu''à l''écheance]]-($B$4-$B$11-1)&gt;0,Tableau3384[[#This Row],[Montant
CHF]],""),"")</f>
        <v/>
      </c>
      <c r="S65" s="142"/>
      <c r="T65" s="95" t="str">
        <f>IF(Tableau3384[[#This Row],[Paiements prevus]]="oui",Tableau3384[[#This Row],[Montant prevu à payer CH]],"")</f>
        <v/>
      </c>
      <c r="U65" s="129"/>
      <c r="V65" s="73"/>
      <c r="W65" s="68"/>
      <c r="X65" s="23">
        <v>45357</v>
      </c>
      <c r="Y65" s="7" t="s">
        <v>58</v>
      </c>
      <c r="Z65" s="120" t="str">
        <f>IF(Tableau3384[[#This Row],[Méthode du paiement]]="Mastercard","OUI","")</f>
        <v/>
      </c>
      <c r="AA65" s="180" t="s">
        <v>14</v>
      </c>
      <c r="AB65" s="6" t="s">
        <v>227</v>
      </c>
    </row>
    <row r="66" spans="1:35" hidden="1" x14ac:dyDescent="0.25">
      <c r="A66" s="9" t="s">
        <v>100</v>
      </c>
      <c r="B66" s="21">
        <v>45322</v>
      </c>
      <c r="C66" s="21">
        <v>45322</v>
      </c>
      <c r="D66" s="22" t="s">
        <v>101</v>
      </c>
      <c r="E66" s="11">
        <v>99.81</v>
      </c>
      <c r="F66" s="88">
        <v>8.1</v>
      </c>
      <c r="G66" s="80"/>
      <c r="H66" s="136">
        <f>Tableau3384[[#This Row],[Montant
CHF]]+Tableau3384[[#This Row],[Abzug/Spesen
CHF]]</f>
        <v>99.81</v>
      </c>
      <c r="I66" s="39"/>
      <c r="J66" s="40"/>
      <c r="K66" s="189"/>
      <c r="L66" s="298"/>
      <c r="M66" s="81"/>
      <c r="N66" s="21">
        <v>45353</v>
      </c>
      <c r="O66" s="282" t="str">
        <f>IF(Tableau3384[[#This Row],[Date du paiement]]&gt;0,"",Tableau3384[[#This Row],[Montant
CHF]])</f>
        <v/>
      </c>
      <c r="P66" s="276" t="str">
        <f>IF(Tableau3384[[#This Row],[Date du paiement]]="",$B$4-Tableau3384[[#This Row],[Écheance]],"")</f>
        <v/>
      </c>
      <c r="Q66" s="168" t="str">
        <f>IF(Tableau3384[[#This Row],[Date du paiement]]="",IF(Tableau3384[[#This Row],[jours jusqu''à l''écheance]]&gt;0,Tableau3384[[#This Row],[Montant
CHF]],""),"")</f>
        <v/>
      </c>
      <c r="R66" s="298" t="str">
        <f>IF(Tableau3384[[#This Row],[Date du paiement]]="",IF(Tableau3384[[#This Row],[jours jusqu''à l''écheance]]-($B$4-$B$11-1)&gt;0,Tableau3384[[#This Row],[Montant
CHF]],""),"")</f>
        <v/>
      </c>
      <c r="S66" s="142"/>
      <c r="T66" s="95" t="str">
        <f>IF(Tableau3384[[#This Row],[Paiements prevus]]="oui",Tableau3384[[#This Row],[Montant prevu à payer CH]],"")</f>
        <v/>
      </c>
      <c r="U66" s="129"/>
      <c r="V66" s="73"/>
      <c r="W66" s="68"/>
      <c r="X66" s="23">
        <v>45352</v>
      </c>
      <c r="Y66" s="7" t="s">
        <v>58</v>
      </c>
      <c r="Z66" s="120" t="str">
        <f>IF(Tableau3384[[#This Row],[Méthode du paiement]]="Mastercard","OUI","")</f>
        <v/>
      </c>
      <c r="AA66" s="180" t="s">
        <v>102</v>
      </c>
      <c r="AB66" s="6" t="s">
        <v>8</v>
      </c>
    </row>
    <row r="67" spans="1:35" hidden="1" x14ac:dyDescent="0.25">
      <c r="A67" s="9" t="s">
        <v>119</v>
      </c>
      <c r="B67" s="21">
        <v>45322</v>
      </c>
      <c r="C67" s="21">
        <v>45322</v>
      </c>
      <c r="D67" s="22" t="s">
        <v>120</v>
      </c>
      <c r="E67" s="11">
        <v>600</v>
      </c>
      <c r="F67" s="88">
        <v>0</v>
      </c>
      <c r="G67" s="80"/>
      <c r="H67" s="136">
        <f>Tableau3384[[#This Row],[Montant
CHF]]+Tableau3384[[#This Row],[Abzug/Spesen
CHF]]</f>
        <v>600</v>
      </c>
      <c r="I67" s="39"/>
      <c r="J67" s="40"/>
      <c r="K67" s="189"/>
      <c r="L67" s="298"/>
      <c r="M67" s="81"/>
      <c r="N67" s="21">
        <v>45353</v>
      </c>
      <c r="O67" s="282" t="str">
        <f>IF(Tableau3384[[#This Row],[Date du paiement]]&gt;0,"",Tableau3384[[#This Row],[Montant
CHF]])</f>
        <v/>
      </c>
      <c r="P67" s="276" t="str">
        <f>IF(Tableau3384[[#This Row],[Date du paiement]]="",$B$4-Tableau3384[[#This Row],[Écheance]],"")</f>
        <v/>
      </c>
      <c r="Q67" s="168" t="str">
        <f>IF(Tableau3384[[#This Row],[Date du paiement]]="",IF(Tableau3384[[#This Row],[jours jusqu''à l''écheance]]&gt;0,Tableau3384[[#This Row],[Montant
CHF]],""),"")</f>
        <v/>
      </c>
      <c r="R67" s="298" t="str">
        <f>IF(Tableau3384[[#This Row],[Date du paiement]]="",IF(Tableau3384[[#This Row],[jours jusqu''à l''écheance]]-($B$4-$B$11-1)&gt;0,Tableau3384[[#This Row],[Montant
CHF]],""),"")</f>
        <v/>
      </c>
      <c r="S67" s="142"/>
      <c r="T67" s="95" t="str">
        <f>IF(Tableau3384[[#This Row],[Paiements prevus]]="oui",Tableau3384[[#This Row],[Montant prevu à payer CH]],"")</f>
        <v/>
      </c>
      <c r="U67" s="129"/>
      <c r="V67" s="73"/>
      <c r="W67" s="68"/>
      <c r="X67" s="23">
        <v>45352</v>
      </c>
      <c r="Y67" s="7" t="s">
        <v>58</v>
      </c>
      <c r="Z67" s="120" t="str">
        <f>IF(Tableau3384[[#This Row],[Méthode du paiement]]="Mastercard","OUI","")</f>
        <v/>
      </c>
      <c r="AA67" s="180" t="s">
        <v>43</v>
      </c>
      <c r="AB67" s="6" t="s">
        <v>8</v>
      </c>
    </row>
    <row r="68" spans="1:35" hidden="1" x14ac:dyDescent="0.25">
      <c r="A68" s="9" t="s">
        <v>170</v>
      </c>
      <c r="B68" s="21">
        <v>45322</v>
      </c>
      <c r="C68" s="21">
        <v>45322</v>
      </c>
      <c r="D68" s="22" t="s">
        <v>171</v>
      </c>
      <c r="E68" s="11">
        <v>3581.31</v>
      </c>
      <c r="F68" s="88">
        <v>8.1</v>
      </c>
      <c r="G68" s="80"/>
      <c r="H68" s="136">
        <f>Tableau3384[[#This Row],[Montant
CHF]]+Tableau3384[[#This Row],[Abzug/Spesen
CHF]]</f>
        <v>3581.31</v>
      </c>
      <c r="I68" s="39"/>
      <c r="J68" s="40"/>
      <c r="K68" s="189"/>
      <c r="L68" s="298"/>
      <c r="M68" s="78" t="s">
        <v>172</v>
      </c>
      <c r="N68" s="21">
        <v>45382</v>
      </c>
      <c r="O68" s="282" t="str">
        <f>IF(Tableau3384[[#This Row],[Date du paiement]]&gt;0,"",Tableau3384[[#This Row],[Montant
CHF]])</f>
        <v/>
      </c>
      <c r="P68" s="276" t="str">
        <f>IF(Tableau3384[[#This Row],[Date du paiement]]="",$B$4-Tableau3384[[#This Row],[Écheance]],"")</f>
        <v/>
      </c>
      <c r="Q68" s="168" t="str">
        <f>IF(Tableau3384[[#This Row],[Date du paiement]]="",IF(Tableau3384[[#This Row],[jours jusqu''à l''écheance]]&gt;0,Tableau3384[[#This Row],[Montant
CHF]],""),"")</f>
        <v/>
      </c>
      <c r="R68" s="298" t="str">
        <f>IF(Tableau3384[[#This Row],[Date du paiement]]="",IF(Tableau3384[[#This Row],[jours jusqu''à l''écheance]]-($B$4-$B$11-1)&gt;0,Tableau3384[[#This Row],[Montant
CHF]],""),"")</f>
        <v/>
      </c>
      <c r="S68" s="142"/>
      <c r="T68" s="95" t="str">
        <f>IF(Tableau3384[[#This Row],[Paiements prevus]]="oui",Tableau3384[[#This Row],[Montant prevu à payer CH]],"")</f>
        <v/>
      </c>
      <c r="U68" s="129"/>
      <c r="V68" s="73"/>
      <c r="W68" s="68"/>
      <c r="X68" s="23">
        <v>45386</v>
      </c>
      <c r="Y68" s="7" t="s">
        <v>58</v>
      </c>
      <c r="Z68" s="120" t="str">
        <f>IF(Tableau3384[[#This Row],[Méthode du paiement]]="Mastercard","OUI","")</f>
        <v/>
      </c>
      <c r="AA68" s="6" t="s">
        <v>4</v>
      </c>
      <c r="AB68" s="6" t="s">
        <v>173</v>
      </c>
      <c r="AC68" s="5"/>
      <c r="AD68" s="5"/>
      <c r="AE68" s="5"/>
      <c r="AF68" s="5"/>
      <c r="AG68" s="5"/>
      <c r="AH68" s="5"/>
      <c r="AI68" s="5"/>
    </row>
    <row r="69" spans="1:35" hidden="1" x14ac:dyDescent="0.25">
      <c r="A69" s="9" t="s">
        <v>91</v>
      </c>
      <c r="B69" s="21">
        <v>45322</v>
      </c>
      <c r="C69" s="21">
        <v>45323</v>
      </c>
      <c r="D69" s="22" t="s">
        <v>92</v>
      </c>
      <c r="E69" s="11">
        <v>456</v>
      </c>
      <c r="F69" s="88">
        <v>8.1</v>
      </c>
      <c r="G69" s="80"/>
      <c r="H69" s="136">
        <f>Tableau3384[[#This Row],[Montant
CHF]]+Tableau3384[[#This Row],[Abzug/Spesen
CHF]]</f>
        <v>456</v>
      </c>
      <c r="I69" s="39"/>
      <c r="J69" s="40"/>
      <c r="K69" s="189"/>
      <c r="L69" s="298"/>
      <c r="M69" s="81"/>
      <c r="N69" s="21">
        <v>45332</v>
      </c>
      <c r="O69" s="282" t="str">
        <f>IF(Tableau3384[[#This Row],[Date du paiement]]&gt;0,"",Tableau3384[[#This Row],[Montant
CHF]])</f>
        <v/>
      </c>
      <c r="P69" s="276" t="str">
        <f>IF(Tableau3384[[#This Row],[Date du paiement]]="",$B$4-Tableau3384[[#This Row],[Écheance]],"")</f>
        <v/>
      </c>
      <c r="Q69" s="168" t="str">
        <f>IF(Tableau3384[[#This Row],[Date du paiement]]="",IF(Tableau3384[[#This Row],[jours jusqu''à l''écheance]]&gt;0,Tableau3384[[#This Row],[Montant
CHF]],""),"")</f>
        <v/>
      </c>
      <c r="R69" s="298" t="str">
        <f>IF(Tableau3384[[#This Row],[Date du paiement]]="",IF(Tableau3384[[#This Row],[jours jusqu''à l''écheance]]-($B$4-$B$11-1)&gt;0,Tableau3384[[#This Row],[Montant
CHF]],""),"")</f>
        <v/>
      </c>
      <c r="S69" s="142"/>
      <c r="T69" s="95" t="str">
        <f>IF(Tableau3384[[#This Row],[Paiements prevus]]="oui",Tableau3384[[#This Row],[Montant prevu à payer CH]],"")</f>
        <v/>
      </c>
      <c r="U69" s="129"/>
      <c r="V69" s="73"/>
      <c r="W69" s="68"/>
      <c r="X69" s="23">
        <v>45352</v>
      </c>
      <c r="Y69" s="7" t="s">
        <v>58</v>
      </c>
      <c r="Z69" s="120" t="str">
        <f>IF(Tableau3384[[#This Row],[Méthode du paiement]]="Mastercard","OUI","")</f>
        <v/>
      </c>
      <c r="AA69" s="6" t="s">
        <v>14</v>
      </c>
      <c r="AB69" s="6" t="s">
        <v>93</v>
      </c>
      <c r="AC69" s="5"/>
      <c r="AD69" s="5"/>
      <c r="AE69" s="5"/>
      <c r="AF69" s="5"/>
      <c r="AG69" s="5"/>
      <c r="AH69" s="5"/>
      <c r="AI69" s="5"/>
    </row>
    <row r="70" spans="1:35" hidden="1" x14ac:dyDescent="0.25">
      <c r="A70" s="9" t="s">
        <v>95</v>
      </c>
      <c r="B70" s="21">
        <v>45322</v>
      </c>
      <c r="C70" s="21">
        <v>45327</v>
      </c>
      <c r="D70" s="22" t="s">
        <v>94</v>
      </c>
      <c r="E70" s="11">
        <v>137.6</v>
      </c>
      <c r="F70" s="88">
        <v>8.1</v>
      </c>
      <c r="G70" s="80"/>
      <c r="H70" s="136">
        <f>Tableau3384[[#This Row],[Montant
CHF]]+Tableau3384[[#This Row],[Abzug/Spesen
CHF]]</f>
        <v>137.6</v>
      </c>
      <c r="I70" s="39"/>
      <c r="J70" s="40"/>
      <c r="K70" s="189"/>
      <c r="L70" s="298"/>
      <c r="M70" s="81"/>
      <c r="N70" s="21">
        <v>45351</v>
      </c>
      <c r="O70" s="282" t="str">
        <f>IF(Tableau3384[[#This Row],[Date du paiement]]&gt;0,"",Tableau3384[[#This Row],[Montant
CHF]])</f>
        <v/>
      </c>
      <c r="P70" s="276" t="str">
        <f>IF(Tableau3384[[#This Row],[Date du paiement]]="",$B$4-Tableau3384[[#This Row],[Écheance]],"")</f>
        <v/>
      </c>
      <c r="Q70" s="168" t="str">
        <f>IF(Tableau3384[[#This Row],[Date du paiement]]="",IF(Tableau3384[[#This Row],[jours jusqu''à l''écheance]]&gt;0,Tableau3384[[#This Row],[Montant
CHF]],""),"")</f>
        <v/>
      </c>
      <c r="R70" s="298" t="str">
        <f>IF(Tableau3384[[#This Row],[Date du paiement]]="",IF(Tableau3384[[#This Row],[jours jusqu''à l''écheance]]-($B$4-$B$11-1)&gt;0,Tableau3384[[#This Row],[Montant
CHF]],""),"")</f>
        <v/>
      </c>
      <c r="S70" s="142"/>
      <c r="T70" s="95" t="str">
        <f>IF(Tableau3384[[#This Row],[Paiements prevus]]="oui",Tableau3384[[#This Row],[Montant prevu à payer CH]],"")</f>
        <v/>
      </c>
      <c r="U70" s="129"/>
      <c r="V70" s="73"/>
      <c r="W70" s="68"/>
      <c r="X70" s="23">
        <v>45352</v>
      </c>
      <c r="Y70" s="7" t="s">
        <v>58</v>
      </c>
      <c r="Z70" s="120" t="str">
        <f>IF(Tableau3384[[#This Row],[Méthode du paiement]]="Mastercard","OUI","")</f>
        <v/>
      </c>
      <c r="AA70" s="6" t="s">
        <v>96</v>
      </c>
      <c r="AB70" s="6" t="s">
        <v>97</v>
      </c>
      <c r="AC70" s="5"/>
      <c r="AD70" s="5"/>
      <c r="AE70" s="5"/>
      <c r="AF70" s="5"/>
      <c r="AG70" s="5"/>
      <c r="AH70" s="5"/>
      <c r="AI70" s="5"/>
    </row>
    <row r="71" spans="1:35" hidden="1" x14ac:dyDescent="0.25">
      <c r="A71" s="9" t="s">
        <v>484</v>
      </c>
      <c r="B71" s="21">
        <v>45322</v>
      </c>
      <c r="C71" s="21">
        <v>45342</v>
      </c>
      <c r="D71" s="22" t="s">
        <v>162</v>
      </c>
      <c r="E71" s="11">
        <v>112.2</v>
      </c>
      <c r="F71" s="88">
        <v>8.1</v>
      </c>
      <c r="G71" s="80"/>
      <c r="H71" s="136">
        <f>Tableau3384[[#This Row],[Montant
CHF]]+Tableau3384[[#This Row],[Abzug/Spesen
CHF]]</f>
        <v>112.2</v>
      </c>
      <c r="I71" s="39"/>
      <c r="J71" s="40"/>
      <c r="K71" s="189"/>
      <c r="L71" s="298"/>
      <c r="M71" s="194"/>
      <c r="N71" s="21">
        <v>45351</v>
      </c>
      <c r="O71" s="282" t="str">
        <f>IF(Tableau3384[[#This Row],[Date du paiement]]&gt;0,"",Tableau3384[[#This Row],[Montant
CHF]])</f>
        <v/>
      </c>
      <c r="P71" s="276" t="str">
        <f>IF(Tableau3384[[#This Row],[Date du paiement]]="",$B$4-Tableau3384[[#This Row],[Écheance]],"")</f>
        <v/>
      </c>
      <c r="Q71" s="168" t="str">
        <f>IF(Tableau3384[[#This Row],[Date du paiement]]="",IF(Tableau3384[[#This Row],[jours jusqu''à l''écheance]]&gt;0,Tableau3384[[#This Row],[Montant
CHF]],""),"")</f>
        <v/>
      </c>
      <c r="R71" s="298" t="str">
        <f>IF(Tableau3384[[#This Row],[Date du paiement]]="",IF(Tableau3384[[#This Row],[jours jusqu''à l''écheance]]-($B$4-$B$11-1)&gt;0,Tableau3384[[#This Row],[Montant
CHF]],""),"")</f>
        <v/>
      </c>
      <c r="S71" s="142"/>
      <c r="T71" s="95" t="str">
        <f>IF(Tableau3384[[#This Row],[Paiements prevus]]="oui",Tableau3384[[#This Row],[Montant prevu à payer CH]],"")</f>
        <v/>
      </c>
      <c r="U71" s="129"/>
      <c r="V71" s="73"/>
      <c r="W71" s="68"/>
      <c r="X71" s="23">
        <v>45359</v>
      </c>
      <c r="Y71" s="7" t="s">
        <v>58</v>
      </c>
      <c r="Z71" s="120" t="str">
        <f>IF(Tableau3384[[#This Row],[Méthode du paiement]]="Mastercard","OUI","")</f>
        <v/>
      </c>
      <c r="AA71" s="6" t="s">
        <v>43</v>
      </c>
      <c r="AB71" s="6" t="s">
        <v>8</v>
      </c>
      <c r="AC71" s="5"/>
      <c r="AD71" s="5"/>
      <c r="AE71" s="5"/>
      <c r="AF71" s="5"/>
      <c r="AG71" s="5"/>
      <c r="AH71" s="5"/>
      <c r="AI71" s="5"/>
    </row>
    <row r="72" spans="1:35" hidden="1" x14ac:dyDescent="0.25">
      <c r="A72" s="9">
        <v>1245742</v>
      </c>
      <c r="B72" s="21">
        <v>45323</v>
      </c>
      <c r="C72" s="21">
        <v>45292</v>
      </c>
      <c r="D72" s="22" t="s">
        <v>2</v>
      </c>
      <c r="E72" s="11">
        <v>1523.55</v>
      </c>
      <c r="F72" s="88">
        <v>8.1</v>
      </c>
      <c r="G72" s="80"/>
      <c r="H72" s="136">
        <f>Tableau3384[[#This Row],[Montant
CHF]]+Tableau3384[[#This Row],[Abzug/Spesen
CHF]]</f>
        <v>1523.55</v>
      </c>
      <c r="I72" s="39"/>
      <c r="J72" s="40"/>
      <c r="K72" s="189"/>
      <c r="L72" s="298"/>
      <c r="M72" s="81"/>
      <c r="N72" s="21">
        <v>45323</v>
      </c>
      <c r="O72" s="282" t="str">
        <f>IF(Tableau3384[[#This Row],[Date du paiement]]&gt;0,"",Tableau3384[[#This Row],[Montant
CHF]])</f>
        <v/>
      </c>
      <c r="P72" s="276" t="str">
        <f>IF(Tableau3384[[#This Row],[Date du paiement]]="",$B$4-Tableau3384[[#This Row],[Écheance]],"")</f>
        <v/>
      </c>
      <c r="Q72" s="168" t="str">
        <f>IF(Tableau3384[[#This Row],[Date du paiement]]="",IF(Tableau3384[[#This Row],[jours jusqu''à l''écheance]]&gt;0,Tableau3384[[#This Row],[Montant
CHF]],""),"")</f>
        <v/>
      </c>
      <c r="R72" s="298" t="str">
        <f>IF(Tableau3384[[#This Row],[Date du paiement]]="",IF(Tableau3384[[#This Row],[jours jusqu''à l''écheance]]-($B$4-$B$11-1)&gt;0,Tableau3384[[#This Row],[Montant
CHF]],""),"")</f>
        <v/>
      </c>
      <c r="S72" s="142"/>
      <c r="T72" s="95" t="str">
        <f>IF(Tableau3384[[#This Row],[Paiements prevus]]="oui",Tableau3384[[#This Row],[Montant prevu à payer CH]],"")</f>
        <v/>
      </c>
      <c r="U72" s="129"/>
      <c r="V72" s="73"/>
      <c r="W72" s="68"/>
      <c r="X72" s="23">
        <v>45327</v>
      </c>
      <c r="Y72" s="7" t="s">
        <v>58</v>
      </c>
      <c r="Z72" s="120" t="str">
        <f>IF(Tableau3384[[#This Row],[Méthode du paiement]]="Mastercard","OUI","")</f>
        <v/>
      </c>
      <c r="AA72" s="18" t="s">
        <v>1431</v>
      </c>
      <c r="AB72" s="6" t="s">
        <v>99</v>
      </c>
    </row>
    <row r="73" spans="1:35" hidden="1" x14ac:dyDescent="0.25">
      <c r="A73" s="9">
        <v>214112</v>
      </c>
      <c r="B73" s="21">
        <v>45323</v>
      </c>
      <c r="C73" s="21">
        <v>45292</v>
      </c>
      <c r="D73" s="22" t="s">
        <v>7</v>
      </c>
      <c r="E73" s="11">
        <v>11516</v>
      </c>
      <c r="F73" s="88">
        <v>0</v>
      </c>
      <c r="G73" s="80"/>
      <c r="H73" s="136">
        <f>Tableau3384[[#This Row],[Montant
CHF]]+Tableau3384[[#This Row],[Abzug/Spesen
CHF]]</f>
        <v>11516</v>
      </c>
      <c r="I73" s="39"/>
      <c r="J73" s="40"/>
      <c r="K73" s="189"/>
      <c r="L73" s="298"/>
      <c r="M73" s="81"/>
      <c r="N73" s="21">
        <v>45323</v>
      </c>
      <c r="O73" s="282" t="str">
        <f>IF(Tableau3384[[#This Row],[Date du paiement]]&gt;0,"",Tableau3384[[#This Row],[Montant
CHF]])</f>
        <v/>
      </c>
      <c r="P73" s="276" t="str">
        <f>IF(Tableau3384[[#This Row],[Date du paiement]]="",$B$4-Tableau3384[[#This Row],[Écheance]],"")</f>
        <v/>
      </c>
      <c r="Q73" s="168" t="str">
        <f>IF(Tableau3384[[#This Row],[Date du paiement]]="",IF(Tableau3384[[#This Row],[jours jusqu''à l''écheance]]&gt;0,Tableau3384[[#This Row],[Montant
CHF]],""),"")</f>
        <v/>
      </c>
      <c r="R73" s="298" t="str">
        <f>IF(Tableau3384[[#This Row],[Date du paiement]]="",IF(Tableau3384[[#This Row],[jours jusqu''à l''écheance]]-($B$4-$B$11-1)&gt;0,Tableau3384[[#This Row],[Montant
CHF]],""),"")</f>
        <v/>
      </c>
      <c r="S73" s="142"/>
      <c r="T73" s="95" t="str">
        <f>IF(Tableau3384[[#This Row],[Paiements prevus]]="oui",Tableau3384[[#This Row],[Montant prevu à payer CH]],"")</f>
        <v/>
      </c>
      <c r="U73" s="129"/>
      <c r="V73" s="73"/>
      <c r="W73" s="68"/>
      <c r="X73" s="23">
        <v>45331</v>
      </c>
      <c r="Y73" s="7" t="s">
        <v>58</v>
      </c>
      <c r="Z73" s="120" t="str">
        <f>IF(Tableau3384[[#This Row],[Méthode du paiement]]="Mastercard","OUI","")</f>
        <v/>
      </c>
      <c r="AA73" s="6" t="s">
        <v>6</v>
      </c>
      <c r="AB73" s="6" t="s">
        <v>99</v>
      </c>
    </row>
    <row r="74" spans="1:35" hidden="1" x14ac:dyDescent="0.25">
      <c r="A74" s="13" t="s">
        <v>632</v>
      </c>
      <c r="B74" s="21">
        <v>45323</v>
      </c>
      <c r="C74" s="21">
        <v>45292</v>
      </c>
      <c r="D74" s="22" t="s">
        <v>3</v>
      </c>
      <c r="E74" s="11">
        <v>3438</v>
      </c>
      <c r="F74" s="88">
        <v>0</v>
      </c>
      <c r="G74" s="80"/>
      <c r="H74" s="136">
        <f>Tableau3384[[#This Row],[Montant
CHF]]+Tableau3384[[#This Row],[Abzug/Spesen
CHF]]</f>
        <v>3438</v>
      </c>
      <c r="I74" s="39"/>
      <c r="J74" s="40"/>
      <c r="K74" s="189"/>
      <c r="L74" s="298"/>
      <c r="M74" s="81"/>
      <c r="N74" s="21">
        <v>45323</v>
      </c>
      <c r="O74" s="282" t="str">
        <f>IF(Tableau3384[[#This Row],[Date du paiement]]&gt;0,"",Tableau3384[[#This Row],[Montant
CHF]])</f>
        <v/>
      </c>
      <c r="P74" s="276" t="str">
        <f>IF(Tableau3384[[#This Row],[Date du paiement]]="",$B$4-Tableau3384[[#This Row],[Écheance]],"")</f>
        <v/>
      </c>
      <c r="Q74" s="168" t="str">
        <f>IF(Tableau3384[[#This Row],[Date du paiement]]="",IF(Tableau3384[[#This Row],[jours jusqu''à l''écheance]]&gt;0,Tableau3384[[#This Row],[Montant
CHF]],""),"")</f>
        <v/>
      </c>
      <c r="R74" s="298" t="str">
        <f>IF(Tableau3384[[#This Row],[Date du paiement]]="",IF(Tableau3384[[#This Row],[jours jusqu''à l''écheance]]-($B$4-$B$11-1)&gt;0,Tableau3384[[#This Row],[Montant
CHF]],""),"")</f>
        <v/>
      </c>
      <c r="S74" s="142"/>
      <c r="T74" s="95" t="str">
        <f>IF(Tableau3384[[#This Row],[Paiements prevus]]="oui",Tableau3384[[#This Row],[Montant prevu à payer CH]],"")</f>
        <v/>
      </c>
      <c r="U74" s="129"/>
      <c r="V74" s="73"/>
      <c r="W74" s="68"/>
      <c r="X74" s="23">
        <v>45372</v>
      </c>
      <c r="Y74" s="7" t="s">
        <v>58</v>
      </c>
      <c r="Z74" s="120" t="str">
        <f>IF(Tableau3384[[#This Row],[Méthode du paiement]]="Mastercard","OUI","")</f>
        <v/>
      </c>
      <c r="AA74" s="6" t="s">
        <v>6</v>
      </c>
      <c r="AB74" s="6" t="s">
        <v>99</v>
      </c>
    </row>
    <row r="75" spans="1:35" hidden="1" x14ac:dyDescent="0.25">
      <c r="A75" s="9" t="s">
        <v>129</v>
      </c>
      <c r="B75" s="21">
        <v>45323</v>
      </c>
      <c r="C75" s="21">
        <v>45323</v>
      </c>
      <c r="D75" s="22" t="s">
        <v>87</v>
      </c>
      <c r="E75" s="11">
        <v>3183.4</v>
      </c>
      <c r="F75" s="88">
        <v>0</v>
      </c>
      <c r="G75" s="80"/>
      <c r="H75" s="136">
        <f>Tableau3384[[#This Row],[Montant
CHF]]+Tableau3384[[#This Row],[Abzug/Spesen
CHF]]</f>
        <v>3183.4</v>
      </c>
      <c r="I75" s="39"/>
      <c r="J75" s="40"/>
      <c r="K75" s="189"/>
      <c r="L75" s="298"/>
      <c r="M75" s="81"/>
      <c r="N75" s="21">
        <v>45354</v>
      </c>
      <c r="O75" s="282" t="str">
        <f>IF(Tableau3384[[#This Row],[Date du paiement]]&gt;0,"",Tableau3384[[#This Row],[Montant
CHF]])</f>
        <v/>
      </c>
      <c r="P75" s="276" t="str">
        <f>IF(Tableau3384[[#This Row],[Date du paiement]]="",$B$4-Tableau3384[[#This Row],[Écheance]],"")</f>
        <v/>
      </c>
      <c r="Q75" s="168" t="str">
        <f>IF(Tableau3384[[#This Row],[Date du paiement]]="",IF(Tableau3384[[#This Row],[jours jusqu''à l''écheance]]&gt;0,Tableau3384[[#This Row],[Montant
CHF]],""),"")</f>
        <v/>
      </c>
      <c r="R75" s="298" t="str">
        <f>IF(Tableau3384[[#This Row],[Date du paiement]]="",IF(Tableau3384[[#This Row],[jours jusqu''à l''écheance]]-($B$4-$B$11-1)&gt;0,Tableau3384[[#This Row],[Montant
CHF]],""),"")</f>
        <v/>
      </c>
      <c r="S75" s="142"/>
      <c r="T75" s="95" t="str">
        <f>IF(Tableau3384[[#This Row],[Paiements prevus]]="oui",Tableau3384[[#This Row],[Montant prevu à payer CH]],"")</f>
        <v/>
      </c>
      <c r="U75" s="129"/>
      <c r="V75" s="73"/>
      <c r="W75" s="68"/>
      <c r="X75" s="23">
        <v>45355</v>
      </c>
      <c r="Y75" s="7" t="s">
        <v>58</v>
      </c>
      <c r="Z75" s="120" t="str">
        <f>IF(Tableau3384[[#This Row],[Méthode du paiement]]="Mastercard","OUI","")</f>
        <v/>
      </c>
      <c r="AA75" s="6" t="s">
        <v>4</v>
      </c>
      <c r="AB75" s="6" t="s">
        <v>99</v>
      </c>
    </row>
    <row r="76" spans="1:35" hidden="1" x14ac:dyDescent="0.25">
      <c r="A76" s="9" t="s">
        <v>109</v>
      </c>
      <c r="B76" s="21">
        <v>45323</v>
      </c>
      <c r="C76" s="21">
        <v>45327</v>
      </c>
      <c r="D76" s="22" t="s">
        <v>38</v>
      </c>
      <c r="E76" s="11">
        <v>47.4</v>
      </c>
      <c r="F76" s="88">
        <v>8.1</v>
      </c>
      <c r="G76" s="80"/>
      <c r="H76" s="136">
        <f>Tableau3384[[#This Row],[Montant
CHF]]+Tableau3384[[#This Row],[Abzug/Spesen
CHF]]</f>
        <v>47.4</v>
      </c>
      <c r="I76" s="39"/>
      <c r="J76" s="40"/>
      <c r="K76" s="189"/>
      <c r="L76" s="298"/>
      <c r="M76" s="81"/>
      <c r="N76" s="21">
        <v>45350</v>
      </c>
      <c r="O76" s="282" t="str">
        <f>IF(Tableau3384[[#This Row],[Date du paiement]]&gt;0,"",Tableau3384[[#This Row],[Montant
CHF]])</f>
        <v/>
      </c>
      <c r="P76" s="276" t="str">
        <f>IF(Tableau3384[[#This Row],[Date du paiement]]="",$B$4-Tableau3384[[#This Row],[Écheance]],"")</f>
        <v/>
      </c>
      <c r="Q76" s="168" t="str">
        <f>IF(Tableau3384[[#This Row],[Date du paiement]]="",IF(Tableau3384[[#This Row],[jours jusqu''à l''écheance]]&gt;0,Tableau3384[[#This Row],[Montant
CHF]],""),"")</f>
        <v/>
      </c>
      <c r="R76" s="298" t="str">
        <f>IF(Tableau3384[[#This Row],[Date du paiement]]="",IF(Tableau3384[[#This Row],[jours jusqu''à l''écheance]]-($B$4-$B$11-1)&gt;0,Tableau3384[[#This Row],[Montant
CHF]],""),"")</f>
        <v/>
      </c>
      <c r="S76" s="142"/>
      <c r="T76" s="95" t="str">
        <f>IF(Tableau3384[[#This Row],[Paiements prevus]]="oui",Tableau3384[[#This Row],[Montant prevu à payer CH]],"")</f>
        <v/>
      </c>
      <c r="U76" s="129"/>
      <c r="V76" s="73"/>
      <c r="W76" s="68"/>
      <c r="X76" s="23">
        <v>45355</v>
      </c>
      <c r="Y76" s="7" t="s">
        <v>58</v>
      </c>
      <c r="Z76" s="120" t="str">
        <f>IF(Tableau3384[[#This Row],[Méthode du paiement]]="Mastercard","OUI","")</f>
        <v/>
      </c>
      <c r="AA76" s="6" t="s">
        <v>39</v>
      </c>
      <c r="AB76" s="6" t="s">
        <v>8</v>
      </c>
    </row>
    <row r="77" spans="1:35" hidden="1" x14ac:dyDescent="0.25">
      <c r="A77" s="9" t="s">
        <v>112</v>
      </c>
      <c r="B77" s="21">
        <v>45323</v>
      </c>
      <c r="C77" s="21">
        <v>45328</v>
      </c>
      <c r="D77" s="22" t="s">
        <v>50</v>
      </c>
      <c r="E77" s="11">
        <v>789.5</v>
      </c>
      <c r="F77" s="88">
        <v>8.1</v>
      </c>
      <c r="G77" s="80"/>
      <c r="H77" s="136">
        <f>Tableau3384[[#This Row],[Montant
CHF]]+Tableau3384[[#This Row],[Abzug/Spesen
CHF]]</f>
        <v>789.5</v>
      </c>
      <c r="I77" s="39"/>
      <c r="J77" s="40"/>
      <c r="K77" s="189"/>
      <c r="L77" s="298"/>
      <c r="M77" s="81"/>
      <c r="N77" s="21">
        <v>45351</v>
      </c>
      <c r="O77" s="282" t="str">
        <f>IF(Tableau3384[[#This Row],[Date du paiement]]&gt;0,"",Tableau3384[[#This Row],[Montant
CHF]])</f>
        <v/>
      </c>
      <c r="P77" s="276" t="str">
        <f>IF(Tableau3384[[#This Row],[Date du paiement]]="",$B$4-Tableau3384[[#This Row],[Écheance]],"")</f>
        <v/>
      </c>
      <c r="Q77" s="168" t="str">
        <f>IF(Tableau3384[[#This Row],[Date du paiement]]="",IF(Tableau3384[[#This Row],[jours jusqu''à l''écheance]]&gt;0,Tableau3384[[#This Row],[Montant
CHF]],""),"")</f>
        <v/>
      </c>
      <c r="R77" s="298" t="str">
        <f>IF(Tableau3384[[#This Row],[Date du paiement]]="",IF(Tableau3384[[#This Row],[jours jusqu''à l''écheance]]-($B$4-$B$11-1)&gt;0,Tableau3384[[#This Row],[Montant
CHF]],""),"")</f>
        <v/>
      </c>
      <c r="S77" s="142"/>
      <c r="T77" s="95" t="str">
        <f>IF(Tableau3384[[#This Row],[Paiements prevus]]="oui",Tableau3384[[#This Row],[Montant prevu à payer CH]],"")</f>
        <v/>
      </c>
      <c r="U77" s="129"/>
      <c r="V77" s="73"/>
      <c r="W77" s="68"/>
      <c r="X77" s="23">
        <v>45355</v>
      </c>
      <c r="Y77" s="7" t="s">
        <v>58</v>
      </c>
      <c r="Z77" s="120" t="str">
        <f>IF(Tableau3384[[#This Row],[Méthode du paiement]]="Mastercard","OUI","")</f>
        <v/>
      </c>
      <c r="AA77" s="18" t="s">
        <v>1431</v>
      </c>
      <c r="AB77" s="6" t="s">
        <v>8</v>
      </c>
    </row>
    <row r="78" spans="1:35" hidden="1" x14ac:dyDescent="0.25">
      <c r="A78" s="9" t="s">
        <v>98</v>
      </c>
      <c r="B78" s="21">
        <v>45323</v>
      </c>
      <c r="C78" s="21">
        <v>45328</v>
      </c>
      <c r="D78" s="22" t="s">
        <v>46</v>
      </c>
      <c r="E78" s="11">
        <v>597.79</v>
      </c>
      <c r="F78" s="88">
        <v>8.1</v>
      </c>
      <c r="G78" s="80"/>
      <c r="H78" s="136">
        <f>Tableau3384[[#This Row],[Montant
CHF]]+Tableau3384[[#This Row],[Abzug/Spesen
CHF]]</f>
        <v>597.79</v>
      </c>
      <c r="I78" s="39"/>
      <c r="J78" s="40"/>
      <c r="K78" s="189"/>
      <c r="L78" s="298"/>
      <c r="M78" s="81"/>
      <c r="N78" s="21">
        <v>45353</v>
      </c>
      <c r="O78" s="282" t="str">
        <f>IF(Tableau3384[[#This Row],[Date du paiement]]&gt;0,"",Tableau3384[[#This Row],[Montant
CHF]])</f>
        <v/>
      </c>
      <c r="P78" s="276" t="str">
        <f>IF(Tableau3384[[#This Row],[Date du paiement]]="",$B$4-Tableau3384[[#This Row],[Écheance]],"")</f>
        <v/>
      </c>
      <c r="Q78" s="168" t="str">
        <f>IF(Tableau3384[[#This Row],[Date du paiement]]="",IF(Tableau3384[[#This Row],[jours jusqu''à l''écheance]]&gt;0,Tableau3384[[#This Row],[Montant
CHF]],""),"")</f>
        <v/>
      </c>
      <c r="R78" s="298" t="str">
        <f>IF(Tableau3384[[#This Row],[Date du paiement]]="",IF(Tableau3384[[#This Row],[jours jusqu''à l''écheance]]-($B$4-$B$11-1)&gt;0,Tableau3384[[#This Row],[Montant
CHF]],""),"")</f>
        <v/>
      </c>
      <c r="S78" s="142"/>
      <c r="T78" s="95" t="str">
        <f>IF(Tableau3384[[#This Row],[Paiements prevus]]="oui",Tableau3384[[#This Row],[Montant prevu à payer CH]],"")</f>
        <v/>
      </c>
      <c r="U78" s="129"/>
      <c r="V78" s="73"/>
      <c r="W78" s="68"/>
      <c r="X78" s="23">
        <v>45355</v>
      </c>
      <c r="Y78" s="7" t="s">
        <v>58</v>
      </c>
      <c r="Z78" s="120" t="str">
        <f>IF(Tableau3384[[#This Row],[Méthode du paiement]]="Mastercard","OUI","")</f>
        <v/>
      </c>
      <c r="AA78" s="6" t="s">
        <v>30</v>
      </c>
      <c r="AB78" s="6" t="s">
        <v>99</v>
      </c>
    </row>
    <row r="79" spans="1:35" hidden="1" x14ac:dyDescent="0.25">
      <c r="A79" s="9" t="s">
        <v>180</v>
      </c>
      <c r="B79" s="21">
        <v>45323</v>
      </c>
      <c r="C79" s="21">
        <v>45331</v>
      </c>
      <c r="D79" s="22" t="s">
        <v>130</v>
      </c>
      <c r="E79" s="11">
        <v>70.25</v>
      </c>
      <c r="F79" s="88">
        <v>8.1</v>
      </c>
      <c r="G79" s="80"/>
      <c r="H79" s="136">
        <f>Tableau3384[[#This Row],[Montant
CHF]]+Tableau3384[[#This Row],[Abzug/Spesen
CHF]]</f>
        <v>70.25</v>
      </c>
      <c r="I79" s="39"/>
      <c r="J79" s="40"/>
      <c r="K79" s="189"/>
      <c r="L79" s="298"/>
      <c r="M79" s="81"/>
      <c r="N79" s="21">
        <v>45351</v>
      </c>
      <c r="O79" s="282" t="str">
        <f>IF(Tableau3384[[#This Row],[Date du paiement]]&gt;0,"",Tableau3384[[#This Row],[Montant
CHF]])</f>
        <v/>
      </c>
      <c r="P79" s="276" t="str">
        <f>IF(Tableau3384[[#This Row],[Date du paiement]]="",$B$4-Tableau3384[[#This Row],[Écheance]],"")</f>
        <v/>
      </c>
      <c r="Q79" s="168" t="str">
        <f>IF(Tableau3384[[#This Row],[Date du paiement]]="",IF(Tableau3384[[#This Row],[jours jusqu''à l''écheance]]&gt;0,Tableau3384[[#This Row],[Montant
CHF]],""),"")</f>
        <v/>
      </c>
      <c r="R79" s="298" t="str">
        <f>IF(Tableau3384[[#This Row],[Date du paiement]]="",IF(Tableau3384[[#This Row],[jours jusqu''à l''écheance]]-($B$4-$B$11-1)&gt;0,Tableau3384[[#This Row],[Montant
CHF]],""),"")</f>
        <v/>
      </c>
      <c r="S79" s="142"/>
      <c r="T79" s="95" t="str">
        <f>IF(Tableau3384[[#This Row],[Paiements prevus]]="oui",Tableau3384[[#This Row],[Montant prevu à payer CH]],"")</f>
        <v/>
      </c>
      <c r="U79" s="129"/>
      <c r="V79" s="73"/>
      <c r="W79" s="68"/>
      <c r="X79" s="23">
        <v>45359</v>
      </c>
      <c r="Y79" s="7" t="s">
        <v>58</v>
      </c>
      <c r="Z79" s="120" t="str">
        <f>IF(Tableau3384[[#This Row],[Méthode du paiement]]="Mastercard","OUI","")</f>
        <v/>
      </c>
      <c r="AA79" s="6" t="s">
        <v>30</v>
      </c>
      <c r="AB79" s="6" t="s">
        <v>8</v>
      </c>
    </row>
    <row r="80" spans="1:35" hidden="1" x14ac:dyDescent="0.25">
      <c r="A80" s="182" t="s">
        <v>219</v>
      </c>
      <c r="B80" s="21">
        <v>45323</v>
      </c>
      <c r="C80" s="21">
        <v>45359</v>
      </c>
      <c r="D80" s="22" t="s">
        <v>220</v>
      </c>
      <c r="E80" s="11">
        <v>19547.849999999999</v>
      </c>
      <c r="F80" s="88">
        <v>8.1</v>
      </c>
      <c r="G80" s="80"/>
      <c r="H80" s="136">
        <f>Tableau3384[[#This Row],[Montant
CHF]]+Tableau3384[[#This Row],[Abzug/Spesen
CHF]]</f>
        <v>19547.849999999999</v>
      </c>
      <c r="I80" s="39"/>
      <c r="J80" s="40"/>
      <c r="K80" s="189"/>
      <c r="L80" s="298"/>
      <c r="M80" s="81"/>
      <c r="N80" s="21">
        <v>45352</v>
      </c>
      <c r="O80" s="282" t="str">
        <f>IF(Tableau3384[[#This Row],[Date du paiement]]&gt;0,"",Tableau3384[[#This Row],[Montant
CHF]])</f>
        <v/>
      </c>
      <c r="P80" s="276" t="str">
        <f>IF(Tableau3384[[#This Row],[Date du paiement]]="",$B$4-Tableau3384[[#This Row],[Écheance]],"")</f>
        <v/>
      </c>
      <c r="Q80" s="168" t="str">
        <f>IF(Tableau3384[[#This Row],[Date du paiement]]="",IF(Tableau3384[[#This Row],[jours jusqu''à l''écheance]]&gt;0,Tableau3384[[#This Row],[Montant
CHF]],""),"")</f>
        <v/>
      </c>
      <c r="R80" s="298" t="str">
        <f>IF(Tableau3384[[#This Row],[Date du paiement]]="",IF(Tableau3384[[#This Row],[jours jusqu''à l''écheance]]-($B$4-$B$11-1)&gt;0,Tableau3384[[#This Row],[Montant
CHF]],""),"")</f>
        <v/>
      </c>
      <c r="S80" s="142"/>
      <c r="T80" s="95" t="str">
        <f>IF(Tableau3384[[#This Row],[Paiements prevus]]="oui",Tableau3384[[#This Row],[Montant prevu à payer CH]],"")</f>
        <v/>
      </c>
      <c r="U80" s="129"/>
      <c r="V80" s="73"/>
      <c r="W80" s="68"/>
      <c r="X80" s="23">
        <v>45355</v>
      </c>
      <c r="Y80" s="7" t="s">
        <v>345</v>
      </c>
      <c r="Z80" s="120" t="str">
        <f>IF(Tableau3384[[#This Row],[Méthode du paiement]]="Mastercard","OUI","")</f>
        <v/>
      </c>
      <c r="AA80" s="6" t="s">
        <v>221</v>
      </c>
      <c r="AB80" s="6" t="s">
        <v>8</v>
      </c>
    </row>
    <row r="81" spans="1:28" hidden="1" x14ac:dyDescent="0.25">
      <c r="A81" s="182" t="s">
        <v>103</v>
      </c>
      <c r="B81" s="21">
        <v>45324</v>
      </c>
      <c r="C81" s="185">
        <v>45324</v>
      </c>
      <c r="D81" s="186" t="s">
        <v>104</v>
      </c>
      <c r="E81" s="11">
        <v>64.900000000000006</v>
      </c>
      <c r="F81" s="195">
        <v>8.1</v>
      </c>
      <c r="G81" s="193"/>
      <c r="H81" s="136">
        <f>Tableau3384[[#This Row],[Montant
CHF]]+Tableau3384[[#This Row],[Abzug/Spesen
CHF]]</f>
        <v>64.900000000000006</v>
      </c>
      <c r="I81" s="188"/>
      <c r="J81" s="189"/>
      <c r="K81" s="189"/>
      <c r="L81" s="298"/>
      <c r="M81" s="194"/>
      <c r="N81" s="21">
        <v>45323</v>
      </c>
      <c r="O81" s="282" t="str">
        <f>IF(Tableau3384[[#This Row],[Date du paiement]]&gt;0,"",Tableau3384[[#This Row],[Montant
CHF]])</f>
        <v/>
      </c>
      <c r="P81" s="276" t="str">
        <f>IF(Tableau3384[[#This Row],[Date du paiement]]="",$B$4-Tableau3384[[#This Row],[Écheance]],"")</f>
        <v/>
      </c>
      <c r="Q81" s="168" t="str">
        <f>IF(Tableau3384[[#This Row],[Date du paiement]]="",IF(Tableau3384[[#This Row],[jours jusqu''à l''écheance]]&gt;0,Tableau3384[[#This Row],[Montant
CHF]],""),"")</f>
        <v/>
      </c>
      <c r="R81" s="298" t="str">
        <f>IF(Tableau3384[[#This Row],[Date du paiement]]="",IF(Tableau3384[[#This Row],[jours jusqu''à l''écheance]]-($B$4-$B$11-1)&gt;0,Tableau3384[[#This Row],[Montant
CHF]],""),"")</f>
        <v/>
      </c>
      <c r="S81" s="142"/>
      <c r="T81" s="95" t="str">
        <f>IF(Tableau3384[[#This Row],[Paiements prevus]]="oui",Tableau3384[[#This Row],[Montant prevu à payer CH]],"")</f>
        <v/>
      </c>
      <c r="U81" s="176"/>
      <c r="V81" s="192"/>
      <c r="W81" s="190"/>
      <c r="X81" s="187">
        <v>45323</v>
      </c>
      <c r="Y81" s="181" t="s">
        <v>105</v>
      </c>
      <c r="Z81" s="120" t="str">
        <f>IF(Tableau3384[[#This Row],[Méthode du paiement]]="Mastercard","OUI","")</f>
        <v>OUI</v>
      </c>
      <c r="AA81" s="180" t="s">
        <v>14</v>
      </c>
      <c r="AB81" s="6" t="s">
        <v>106</v>
      </c>
    </row>
    <row r="82" spans="1:28" hidden="1" x14ac:dyDescent="0.25">
      <c r="A82" s="9" t="s">
        <v>584</v>
      </c>
      <c r="B82" s="21">
        <v>45325</v>
      </c>
      <c r="C82" s="21">
        <v>45435</v>
      </c>
      <c r="D82" s="22" t="s">
        <v>48</v>
      </c>
      <c r="E82" s="11">
        <v>77.45</v>
      </c>
      <c r="F82" s="88">
        <v>8.1</v>
      </c>
      <c r="G82" s="80"/>
      <c r="H82" s="136">
        <f>Tableau3384[[#This Row],[Montant
CHF]]+Tableau3384[[#This Row],[Abzug/Spesen
CHF]]</f>
        <v>77.45</v>
      </c>
      <c r="I82" s="39"/>
      <c r="J82" s="40"/>
      <c r="K82" s="189"/>
      <c r="L82" s="298"/>
      <c r="M82" s="81"/>
      <c r="N82" s="21">
        <v>45345</v>
      </c>
      <c r="O82" s="282" t="str">
        <f>IF(Tableau3384[[#This Row],[Date du paiement]]&gt;0,"",Tableau3384[[#This Row],[Montant
CHF]])</f>
        <v/>
      </c>
      <c r="P82" s="276" t="str">
        <f>IF(Tableau3384[[#This Row],[Date du paiement]]="",$B$4-Tableau3384[[#This Row],[Écheance]],"")</f>
        <v/>
      </c>
      <c r="Q82" s="168" t="str">
        <f>IF(Tableau3384[[#This Row],[Date du paiement]]="",IF(Tableau3384[[#This Row],[jours jusqu''à l''écheance]]&gt;0,Tableau3384[[#This Row],[Montant
CHF]],""),"")</f>
        <v/>
      </c>
      <c r="R82" s="298" t="str">
        <f>IF(Tableau3384[[#This Row],[Date du paiement]]="",IF(Tableau3384[[#This Row],[jours jusqu''à l''écheance]]-($B$4-$B$11-1)&gt;0,Tableau3384[[#This Row],[Montant
CHF]],""),"")</f>
        <v/>
      </c>
      <c r="S82" s="142"/>
      <c r="T82" s="95" t="str">
        <f>IF(Tableau3384[[#This Row],[Paiements prevus]]="oui",Tableau3384[[#This Row],[Montant prevu à payer CH]],"")</f>
        <v/>
      </c>
      <c r="U82" s="129"/>
      <c r="V82" s="73"/>
      <c r="W82" s="68"/>
      <c r="X82" s="23">
        <v>45441</v>
      </c>
      <c r="Y82" s="7" t="s">
        <v>58</v>
      </c>
      <c r="Z82" s="120" t="str">
        <f>IF(Tableau3384[[#This Row],[Méthode du paiement]]="Mastercard","OUI","")</f>
        <v/>
      </c>
      <c r="AA82" s="6" t="s">
        <v>39</v>
      </c>
      <c r="AB82" s="6" t="s">
        <v>8</v>
      </c>
    </row>
    <row r="83" spans="1:28" hidden="1" x14ac:dyDescent="0.25">
      <c r="A83" s="9" t="s">
        <v>115</v>
      </c>
      <c r="B83" s="21">
        <v>45327</v>
      </c>
      <c r="C83" s="21">
        <v>45327</v>
      </c>
      <c r="D83" s="22" t="s">
        <v>117</v>
      </c>
      <c r="E83" s="11">
        <f>Tableau3384[[#This Row],[Montant
EUR]]*Tableau3384[[#This Row],[Taux 
de change]]</f>
        <v>8564.6498080000001</v>
      </c>
      <c r="F83" s="88">
        <v>0</v>
      </c>
      <c r="G83" s="80"/>
      <c r="H83" s="136">
        <f>Tableau3384[[#This Row],[Montant
CHF]]+Tableau3384[[#This Row],[Abzug/Spesen
CHF]]</f>
        <v>8564.6498080000001</v>
      </c>
      <c r="I83" s="39">
        <v>0.96210399999999996</v>
      </c>
      <c r="J83" s="40">
        <v>8902</v>
      </c>
      <c r="K83" s="189"/>
      <c r="L83" s="298"/>
      <c r="M83" s="81"/>
      <c r="N83" s="21">
        <v>45357</v>
      </c>
      <c r="O83" s="282" t="str">
        <f>IF(Tableau3384[[#This Row],[Date du paiement]]&gt;0,"",Tableau3384[[#This Row],[Montant
CHF]])</f>
        <v/>
      </c>
      <c r="P83" s="276" t="str">
        <f>IF(Tableau3384[[#This Row],[Date du paiement]]="",$B$4-Tableau3384[[#This Row],[Écheance]],"")</f>
        <v/>
      </c>
      <c r="Q83" s="168" t="str">
        <f>IF(Tableau3384[[#This Row],[Date du paiement]]="",IF(Tableau3384[[#This Row],[jours jusqu''à l''écheance]]&gt;0,Tableau3384[[#This Row],[Montant
CHF]],""),"")</f>
        <v/>
      </c>
      <c r="R83" s="298" t="str">
        <f>IF(Tableau3384[[#This Row],[Date du paiement]]="",IF(Tableau3384[[#This Row],[jours jusqu''à l''écheance]]-($B$4-$B$11-1)&gt;0,Tableau3384[[#This Row],[Montant
CHF]],""),"")</f>
        <v/>
      </c>
      <c r="S83" s="142"/>
      <c r="T83" s="95" t="str">
        <f>IF(Tableau3384[[#This Row],[Paiements prevus]]="oui",Tableau3384[[#This Row],[Montant prevu à payer CH]],"")</f>
        <v/>
      </c>
      <c r="U83" s="129"/>
      <c r="V83" s="73"/>
      <c r="W83" s="68"/>
      <c r="X83" s="23">
        <v>45330</v>
      </c>
      <c r="Y83" s="7" t="s">
        <v>58</v>
      </c>
      <c r="Z83" s="120" t="str">
        <f>IF(Tableau3384[[#This Row],[Méthode du paiement]]="Mastercard","OUI","")</f>
        <v/>
      </c>
      <c r="AA83" s="6" t="s">
        <v>14</v>
      </c>
      <c r="AB83" s="6" t="s">
        <v>118</v>
      </c>
    </row>
    <row r="84" spans="1:28" hidden="1" x14ac:dyDescent="0.25">
      <c r="A84" s="9" t="s">
        <v>116</v>
      </c>
      <c r="B84" s="21">
        <v>45327</v>
      </c>
      <c r="C84" s="21">
        <v>45327</v>
      </c>
      <c r="D84" s="22" t="s">
        <v>117</v>
      </c>
      <c r="E84" s="11">
        <f>Tableau3384[[#This Row],[Montant
EUR]]*Tableau3384[[#This Row],[Taux 
de change]]</f>
        <v>1135.069966</v>
      </c>
      <c r="F84" s="88">
        <v>0</v>
      </c>
      <c r="G84" s="80"/>
      <c r="H84" s="136">
        <f>Tableau3384[[#This Row],[Montant
CHF]]+Tableau3384[[#This Row],[Abzug/Spesen
CHF]]</f>
        <v>1135.069966</v>
      </c>
      <c r="I84" s="39">
        <v>0.96192370000000005</v>
      </c>
      <c r="J84" s="40">
        <v>1180</v>
      </c>
      <c r="K84" s="189"/>
      <c r="L84" s="298"/>
      <c r="M84" s="81"/>
      <c r="N84" s="21">
        <v>45357</v>
      </c>
      <c r="O84" s="282" t="str">
        <f>IF(Tableau3384[[#This Row],[Date du paiement]]&gt;0,"",Tableau3384[[#This Row],[Montant
CHF]])</f>
        <v/>
      </c>
      <c r="P84" s="276" t="str">
        <f>IF(Tableau3384[[#This Row],[Date du paiement]]="",$B$4-Tableau3384[[#This Row],[Écheance]],"")</f>
        <v/>
      </c>
      <c r="Q84" s="168" t="str">
        <f>IF(Tableau3384[[#This Row],[Date du paiement]]="",IF(Tableau3384[[#This Row],[jours jusqu''à l''écheance]]&gt;0,Tableau3384[[#This Row],[Montant
CHF]],""),"")</f>
        <v/>
      </c>
      <c r="R84" s="298" t="str">
        <f>IF(Tableau3384[[#This Row],[Date du paiement]]="",IF(Tableau3384[[#This Row],[jours jusqu''à l''écheance]]-($B$4-$B$11-1)&gt;0,Tableau3384[[#This Row],[Montant
CHF]],""),"")</f>
        <v/>
      </c>
      <c r="S84" s="142"/>
      <c r="T84" s="95" t="str">
        <f>IF(Tableau3384[[#This Row],[Paiements prevus]]="oui",Tableau3384[[#This Row],[Montant prevu à payer CH]],"")</f>
        <v/>
      </c>
      <c r="U84" s="129"/>
      <c r="V84" s="73"/>
      <c r="W84" s="68"/>
      <c r="X84" s="23">
        <v>45363</v>
      </c>
      <c r="Y84" s="7" t="s">
        <v>58</v>
      </c>
      <c r="Z84" s="120" t="str">
        <f>IF(Tableau3384[[#This Row],[Méthode du paiement]]="Mastercard","OUI","")</f>
        <v/>
      </c>
      <c r="AA84" s="6" t="s">
        <v>11</v>
      </c>
      <c r="AB84" s="6" t="s">
        <v>118</v>
      </c>
    </row>
    <row r="85" spans="1:28" hidden="1" x14ac:dyDescent="0.25">
      <c r="A85" s="9" t="s">
        <v>113</v>
      </c>
      <c r="B85" s="21">
        <v>45328</v>
      </c>
      <c r="C85" s="21">
        <v>45328</v>
      </c>
      <c r="D85" s="22" t="s">
        <v>196</v>
      </c>
      <c r="E85" s="11">
        <v>469.05</v>
      </c>
      <c r="F85" s="88">
        <v>8.1</v>
      </c>
      <c r="G85" s="80"/>
      <c r="H85" s="136">
        <f>Tableau3384[[#This Row],[Montant
CHF]]+Tableau3384[[#This Row],[Abzug/Spesen
CHF]]</f>
        <v>469.05</v>
      </c>
      <c r="I85" s="39"/>
      <c r="J85" s="40"/>
      <c r="K85" s="189"/>
      <c r="L85" s="298"/>
      <c r="M85" s="81"/>
      <c r="N85" s="21">
        <v>45338</v>
      </c>
      <c r="O85" s="282" t="str">
        <f>IF(Tableau3384[[#This Row],[Date du paiement]]&gt;0,"",Tableau3384[[#This Row],[Montant
CHF]])</f>
        <v/>
      </c>
      <c r="P85" s="276" t="str">
        <f>IF(Tableau3384[[#This Row],[Date du paiement]]="",$B$4-Tableau3384[[#This Row],[Écheance]],"")</f>
        <v/>
      </c>
      <c r="Q85" s="168" t="str">
        <f>IF(Tableau3384[[#This Row],[Date du paiement]]="",IF(Tableau3384[[#This Row],[jours jusqu''à l''écheance]]&gt;0,Tableau3384[[#This Row],[Montant
CHF]],""),"")</f>
        <v/>
      </c>
      <c r="R85" s="298" t="str">
        <f>IF(Tableau3384[[#This Row],[Date du paiement]]="",IF(Tableau3384[[#This Row],[jours jusqu''à l''écheance]]-($B$4-$B$11-1)&gt;0,Tableau3384[[#This Row],[Montant
CHF]],""),"")</f>
        <v/>
      </c>
      <c r="S85" s="142"/>
      <c r="T85" s="95" t="str">
        <f>IF(Tableau3384[[#This Row],[Paiements prevus]]="oui",Tableau3384[[#This Row],[Montant prevu à payer CH]],"")</f>
        <v/>
      </c>
      <c r="U85" s="129"/>
      <c r="V85" s="73"/>
      <c r="W85" s="68"/>
      <c r="X85" s="23">
        <v>45359</v>
      </c>
      <c r="Y85" s="7" t="s">
        <v>58</v>
      </c>
      <c r="Z85" s="120" t="str">
        <f>IF(Tableau3384[[#This Row],[Méthode du paiement]]="Mastercard","OUI","")</f>
        <v/>
      </c>
      <c r="AA85" s="6" t="s">
        <v>4</v>
      </c>
      <c r="AB85" s="6" t="s">
        <v>114</v>
      </c>
    </row>
    <row r="86" spans="1:28" hidden="1" x14ac:dyDescent="0.25">
      <c r="A86" s="9" t="s">
        <v>201</v>
      </c>
      <c r="B86" s="21">
        <v>45328</v>
      </c>
      <c r="C86" s="21">
        <v>45328</v>
      </c>
      <c r="D86" s="22" t="s">
        <v>42</v>
      </c>
      <c r="E86" s="11">
        <v>36</v>
      </c>
      <c r="F86" s="88">
        <v>8.1</v>
      </c>
      <c r="G86" s="80"/>
      <c r="H86" s="136">
        <f>Tableau3384[[#This Row],[Montant
CHF]]+Tableau3384[[#This Row],[Abzug/Spesen
CHF]]</f>
        <v>36</v>
      </c>
      <c r="I86" s="39"/>
      <c r="J86" s="40"/>
      <c r="K86" s="189"/>
      <c r="L86" s="298"/>
      <c r="M86" s="81"/>
      <c r="N86" s="21">
        <v>45358</v>
      </c>
      <c r="O86" s="282" t="str">
        <f>IF(Tableau3384[[#This Row],[Date du paiement]]&gt;0,"",Tableau3384[[#This Row],[Montant
CHF]])</f>
        <v/>
      </c>
      <c r="P86" s="276" t="str">
        <f>IF(Tableau3384[[#This Row],[Date du paiement]]="",$B$4-Tableau3384[[#This Row],[Écheance]],"")</f>
        <v/>
      </c>
      <c r="Q86" s="168" t="str">
        <f>IF(Tableau3384[[#This Row],[Date du paiement]]="",IF(Tableau3384[[#This Row],[jours jusqu''à l''écheance]]&gt;0,Tableau3384[[#This Row],[Montant
CHF]],""),"")</f>
        <v/>
      </c>
      <c r="R86" s="298" t="str">
        <f>IF(Tableau3384[[#This Row],[Date du paiement]]="",IF(Tableau3384[[#This Row],[jours jusqu''à l''écheance]]-($B$4-$B$11-1)&gt;0,Tableau3384[[#This Row],[Montant
CHF]],""),"")</f>
        <v/>
      </c>
      <c r="S86" s="142"/>
      <c r="T86" s="95" t="str">
        <f>IF(Tableau3384[[#This Row],[Paiements prevus]]="oui",Tableau3384[[#This Row],[Montant prevu à payer CH]],"")</f>
        <v/>
      </c>
      <c r="U86" s="129"/>
      <c r="V86" s="73"/>
      <c r="W86" s="68"/>
      <c r="X86" s="23">
        <v>45359</v>
      </c>
      <c r="Y86" s="7" t="s">
        <v>58</v>
      </c>
      <c r="Z86" s="120" t="str">
        <f>IF(Tableau3384[[#This Row],[Méthode du paiement]]="Mastercard","OUI","")</f>
        <v/>
      </c>
      <c r="AA86" s="6" t="s">
        <v>43</v>
      </c>
      <c r="AB86" s="6" t="s">
        <v>202</v>
      </c>
    </row>
    <row r="87" spans="1:28" hidden="1" x14ac:dyDescent="0.25">
      <c r="A87" s="9" t="s">
        <v>140</v>
      </c>
      <c r="B87" s="21">
        <v>45328</v>
      </c>
      <c r="C87" s="21">
        <v>45328</v>
      </c>
      <c r="D87" s="22" t="s">
        <v>117</v>
      </c>
      <c r="E87" s="11">
        <f>Tableau3384[[#This Row],[Montant
EUR]]*Tableau3384[[#This Row],[Taux 
de change]]</f>
        <v>6527.8299891199995</v>
      </c>
      <c r="F87" s="88">
        <v>0</v>
      </c>
      <c r="G87" s="80"/>
      <c r="H87" s="136">
        <f>Tableau3384[[#This Row],[Montant
CHF]]+Tableau3384[[#This Row],[Abzug/Spesen
CHF]]</f>
        <v>6527.8299891199995</v>
      </c>
      <c r="I87" s="39">
        <v>0.96181375999999996</v>
      </c>
      <c r="J87" s="40">
        <v>6787</v>
      </c>
      <c r="K87" s="189"/>
      <c r="L87" s="298"/>
      <c r="M87" s="81"/>
      <c r="N87" s="21">
        <v>45358</v>
      </c>
      <c r="O87" s="282" t="str">
        <f>IF(Tableau3384[[#This Row],[Date du paiement]]&gt;0,"",Tableau3384[[#This Row],[Montant
CHF]])</f>
        <v/>
      </c>
      <c r="P87" s="276" t="str">
        <f>IF(Tableau3384[[#This Row],[Date du paiement]]="",$B$4-Tableau3384[[#This Row],[Écheance]],"")</f>
        <v/>
      </c>
      <c r="Q87" s="168" t="str">
        <f>IF(Tableau3384[[#This Row],[Date du paiement]]="",IF(Tableau3384[[#This Row],[jours jusqu''à l''écheance]]&gt;0,Tableau3384[[#This Row],[Montant
CHF]],""),"")</f>
        <v/>
      </c>
      <c r="R87" s="298" t="str">
        <f>IF(Tableau3384[[#This Row],[Date du paiement]]="",IF(Tableau3384[[#This Row],[jours jusqu''à l''écheance]]-($B$4-$B$11-1)&gt;0,Tableau3384[[#This Row],[Montant
CHF]],""),"")</f>
        <v/>
      </c>
      <c r="S87" s="142"/>
      <c r="T87" s="95" t="str">
        <f>IF(Tableau3384[[#This Row],[Paiements prevus]]="oui",Tableau3384[[#This Row],[Montant prevu à payer CH]],"")</f>
        <v/>
      </c>
      <c r="U87" s="129"/>
      <c r="V87" s="73"/>
      <c r="W87" s="68"/>
      <c r="X87" s="23">
        <v>45363</v>
      </c>
      <c r="Y87" s="7" t="s">
        <v>58</v>
      </c>
      <c r="Z87" s="120" t="str">
        <f>IF(Tableau3384[[#This Row],[Méthode du paiement]]="Mastercard","OUI","")</f>
        <v/>
      </c>
      <c r="AA87" s="6" t="s">
        <v>14</v>
      </c>
      <c r="AB87" s="6" t="s">
        <v>141</v>
      </c>
    </row>
    <row r="88" spans="1:28" hidden="1" x14ac:dyDescent="0.25">
      <c r="A88" s="9" t="s">
        <v>239</v>
      </c>
      <c r="B88" s="21">
        <v>45328</v>
      </c>
      <c r="C88" s="21">
        <v>45363</v>
      </c>
      <c r="D88" s="22" t="s">
        <v>240</v>
      </c>
      <c r="E88" s="11">
        <f>Tableau3384[[#This Row],[Montant
EUR]]*Tableau3384[[#This Row],[Taux 
de change]]</f>
        <v>4507.27984242</v>
      </c>
      <c r="F88" s="88">
        <v>0</v>
      </c>
      <c r="G88" s="80"/>
      <c r="H88" s="136">
        <f>Tableau3384[[#This Row],[Montant
CHF]]+Tableau3384[[#This Row],[Abzug/Spesen
CHF]]</f>
        <v>4507.27984242</v>
      </c>
      <c r="I88" s="39">
        <v>0.97168969999999999</v>
      </c>
      <c r="J88" s="40">
        <v>4638.6000000000004</v>
      </c>
      <c r="K88" s="189"/>
      <c r="L88" s="298"/>
      <c r="M88" s="81"/>
      <c r="N88" s="21">
        <v>45357</v>
      </c>
      <c r="O88" s="282" t="str">
        <f>IF(Tableau3384[[#This Row],[Date du paiement]]&gt;0,"",Tableau3384[[#This Row],[Montant
CHF]])</f>
        <v/>
      </c>
      <c r="P88" s="276" t="str">
        <f>IF(Tableau3384[[#This Row],[Date du paiement]]="",$B$4-Tableau3384[[#This Row],[Écheance]],"")</f>
        <v/>
      </c>
      <c r="Q88" s="168" t="str">
        <f>IF(Tableau3384[[#This Row],[Date du paiement]]="",IF(Tableau3384[[#This Row],[jours jusqu''à l''écheance]]&gt;0,Tableau3384[[#This Row],[Montant
CHF]],""),"")</f>
        <v/>
      </c>
      <c r="R88" s="298" t="str">
        <f>IF(Tableau3384[[#This Row],[Date du paiement]]="",IF(Tableau3384[[#This Row],[jours jusqu''à l''écheance]]-($B$4-$B$11-1)&gt;0,Tableau3384[[#This Row],[Montant
CHF]],""),"")</f>
        <v/>
      </c>
      <c r="S88" s="142"/>
      <c r="T88" s="95" t="str">
        <f>IF(Tableau3384[[#This Row],[Paiements prevus]]="oui",Tableau3384[[#This Row],[Montant prevu à payer CH]],"")</f>
        <v/>
      </c>
      <c r="U88" s="129"/>
      <c r="V88" s="73"/>
      <c r="W88" s="68"/>
      <c r="X88" s="23">
        <v>45372</v>
      </c>
      <c r="Y88" s="7" t="s">
        <v>58</v>
      </c>
      <c r="Z88" s="120" t="str">
        <f>IF(Tableau3384[[#This Row],[Méthode du paiement]]="Mastercard","OUI","")</f>
        <v/>
      </c>
      <c r="AA88" s="6" t="s">
        <v>14</v>
      </c>
      <c r="AB88" s="6" t="s">
        <v>241</v>
      </c>
    </row>
    <row r="89" spans="1:28" hidden="1" x14ac:dyDescent="0.25">
      <c r="A89" s="9" t="s">
        <v>208</v>
      </c>
      <c r="B89" s="21">
        <v>45329</v>
      </c>
      <c r="C89" s="21">
        <v>45329</v>
      </c>
      <c r="D89" s="22" t="s">
        <v>209</v>
      </c>
      <c r="E89" s="11">
        <v>3346.8</v>
      </c>
      <c r="F89" s="88">
        <v>8.1</v>
      </c>
      <c r="G89" s="80"/>
      <c r="H89" s="136">
        <f>Tableau3384[[#This Row],[Montant
CHF]]+Tableau3384[[#This Row],[Abzug/Spesen
CHF]]</f>
        <v>3346.8</v>
      </c>
      <c r="I89" s="39"/>
      <c r="J89" s="40"/>
      <c r="K89" s="189"/>
      <c r="L89" s="298"/>
      <c r="M89" s="81"/>
      <c r="N89" s="21">
        <v>45329</v>
      </c>
      <c r="O89" s="282" t="str">
        <f>IF(Tableau3384[[#This Row],[Date du paiement]]&gt;0,"",Tableau3384[[#This Row],[Montant
CHF]])</f>
        <v/>
      </c>
      <c r="P89" s="276" t="str">
        <f>IF(Tableau3384[[#This Row],[Date du paiement]]="",$B$4-Tableau3384[[#This Row],[Écheance]],"")</f>
        <v/>
      </c>
      <c r="Q89" s="168" t="str">
        <f>IF(Tableau3384[[#This Row],[Date du paiement]]="",IF(Tableau3384[[#This Row],[jours jusqu''à l''écheance]]&gt;0,Tableau3384[[#This Row],[Montant
CHF]],""),"")</f>
        <v/>
      </c>
      <c r="R89" s="298" t="str">
        <f>IF(Tableau3384[[#This Row],[Date du paiement]]="",IF(Tableau3384[[#This Row],[jours jusqu''à l''écheance]]-($B$4-$B$11-1)&gt;0,Tableau3384[[#This Row],[Montant
CHF]],""),"")</f>
        <v/>
      </c>
      <c r="S89" s="142"/>
      <c r="T89" s="95" t="str">
        <f>IF(Tableau3384[[#This Row],[Paiements prevus]]="oui",Tableau3384[[#This Row],[Montant prevu à payer CH]],"")</f>
        <v/>
      </c>
      <c r="U89" s="129"/>
      <c r="V89" s="73"/>
      <c r="W89" s="68"/>
      <c r="X89" s="23">
        <v>45331</v>
      </c>
      <c r="Y89" s="7" t="s">
        <v>345</v>
      </c>
      <c r="Z89" s="120" t="str">
        <f>IF(Tableau3384[[#This Row],[Méthode du paiement]]="Mastercard","OUI","")</f>
        <v/>
      </c>
      <c r="AA89" s="6" t="s">
        <v>14</v>
      </c>
      <c r="AB89" s="6" t="s">
        <v>214</v>
      </c>
    </row>
    <row r="90" spans="1:28" hidden="1" x14ac:dyDescent="0.25">
      <c r="A90" s="9" t="s">
        <v>125</v>
      </c>
      <c r="B90" s="21">
        <v>45329</v>
      </c>
      <c r="C90" s="21">
        <v>45329</v>
      </c>
      <c r="D90" s="22" t="s">
        <v>25</v>
      </c>
      <c r="E90" s="11">
        <v>40</v>
      </c>
      <c r="F90" s="88">
        <v>0</v>
      </c>
      <c r="G90" s="80"/>
      <c r="H90" s="136">
        <f>Tableau3384[[#This Row],[Montant
CHF]]+Tableau3384[[#This Row],[Abzug/Spesen
CHF]]</f>
        <v>40</v>
      </c>
      <c r="I90" s="39"/>
      <c r="J90" s="40"/>
      <c r="K90" s="189"/>
      <c r="L90" s="298"/>
      <c r="M90" s="81"/>
      <c r="N90" s="21">
        <v>45349</v>
      </c>
      <c r="O90" s="282" t="str">
        <f>IF(Tableau3384[[#This Row],[Date du paiement]]&gt;0,"",Tableau3384[[#This Row],[Montant
CHF]])</f>
        <v/>
      </c>
      <c r="P90" s="276" t="str">
        <f>IF(Tableau3384[[#This Row],[Date du paiement]]="",$B$4-Tableau3384[[#This Row],[Écheance]],"")</f>
        <v/>
      </c>
      <c r="Q90" s="168" t="str">
        <f>IF(Tableau3384[[#This Row],[Date du paiement]]="",IF(Tableau3384[[#This Row],[jours jusqu''à l''écheance]]&gt;0,Tableau3384[[#This Row],[Montant
CHF]],""),"")</f>
        <v/>
      </c>
      <c r="R90" s="298" t="str">
        <f>IF(Tableau3384[[#This Row],[Date du paiement]]="",IF(Tableau3384[[#This Row],[jours jusqu''à l''écheance]]-($B$4-$B$11-1)&gt;0,Tableau3384[[#This Row],[Montant
CHF]],""),"")</f>
        <v/>
      </c>
      <c r="S90" s="142"/>
      <c r="T90" s="95" t="str">
        <f>IF(Tableau3384[[#This Row],[Paiements prevus]]="oui",Tableau3384[[#This Row],[Montant prevu à payer CH]],"")</f>
        <v/>
      </c>
      <c r="U90" s="129"/>
      <c r="V90" s="73"/>
      <c r="W90" s="68"/>
      <c r="X90" s="23">
        <v>45359</v>
      </c>
      <c r="Y90" s="7" t="s">
        <v>58</v>
      </c>
      <c r="Z90" s="120" t="str">
        <f>IF(Tableau3384[[#This Row],[Méthode du paiement]]="Mastercard","OUI","")</f>
        <v/>
      </c>
      <c r="AA90" s="6" t="s">
        <v>26</v>
      </c>
      <c r="AB90" s="6" t="s">
        <v>126</v>
      </c>
    </row>
    <row r="91" spans="1:28" hidden="1" x14ac:dyDescent="0.25">
      <c r="A91" s="9" t="s">
        <v>250</v>
      </c>
      <c r="B91" s="21">
        <v>45329</v>
      </c>
      <c r="C91" s="21">
        <v>45329</v>
      </c>
      <c r="D91" s="22" t="s">
        <v>117</v>
      </c>
      <c r="E91" s="11">
        <f>Tableau3384[[#This Row],[Montant
EUR]]*Tableau3384[[#This Row],[Taux 
de change]]</f>
        <v>1573.3699199999999</v>
      </c>
      <c r="F91" s="88">
        <v>0</v>
      </c>
      <c r="G91" s="80"/>
      <c r="H91" s="136">
        <f>Tableau3384[[#This Row],[Montant
CHF]]+Tableau3384[[#This Row],[Abzug/Spesen
CHF]]</f>
        <v>1573.3699199999999</v>
      </c>
      <c r="I91" s="39">
        <v>0.97121599999999997</v>
      </c>
      <c r="J91" s="40">
        <v>1620</v>
      </c>
      <c r="K91" s="189"/>
      <c r="L91" s="298"/>
      <c r="M91" s="194"/>
      <c r="N91" s="21">
        <v>45358</v>
      </c>
      <c r="O91" s="282" t="str">
        <f>IF(Tableau3384[[#This Row],[Date du paiement]]&gt;0,"",Tableau3384[[#This Row],[Montant
CHF]])</f>
        <v/>
      </c>
      <c r="P91" s="276" t="str">
        <f>IF(Tableau3384[[#This Row],[Date du paiement]]="",$B$4-Tableau3384[[#This Row],[Écheance]],"")</f>
        <v/>
      </c>
      <c r="Q91" s="168" t="str">
        <f>IF(Tableau3384[[#This Row],[Date du paiement]]="",IF(Tableau3384[[#This Row],[jours jusqu''à l''écheance]]&gt;0,Tableau3384[[#This Row],[Montant
CHF]],""),"")</f>
        <v/>
      </c>
      <c r="R91" s="298" t="str">
        <f>IF(Tableau3384[[#This Row],[Date du paiement]]="",IF(Tableau3384[[#This Row],[jours jusqu''à l''écheance]]-($B$4-$B$11-1)&gt;0,Tableau3384[[#This Row],[Montant
CHF]],""),"")</f>
        <v/>
      </c>
      <c r="S91" s="142"/>
      <c r="T91" s="95" t="str">
        <f>IF(Tableau3384[[#This Row],[Paiements prevus]]="oui",Tableau3384[[#This Row],[Montant prevu à payer CH]],"")</f>
        <v/>
      </c>
      <c r="U91" s="129"/>
      <c r="V91" s="73"/>
      <c r="W91" s="68"/>
      <c r="X91" s="23">
        <v>45372</v>
      </c>
      <c r="Y91" s="7" t="s">
        <v>58</v>
      </c>
      <c r="Z91" s="120" t="str">
        <f>IF(Tableau3384[[#This Row],[Méthode du paiement]]="Mastercard","OUI","")</f>
        <v/>
      </c>
      <c r="AA91" s="6" t="s">
        <v>11</v>
      </c>
      <c r="AB91" s="6" t="s">
        <v>141</v>
      </c>
    </row>
    <row r="92" spans="1:28" hidden="1" x14ac:dyDescent="0.25">
      <c r="A92" s="9" t="s">
        <v>233</v>
      </c>
      <c r="B92" s="21">
        <v>45329</v>
      </c>
      <c r="C92" s="21">
        <v>45331</v>
      </c>
      <c r="D92" s="22" t="s">
        <v>13</v>
      </c>
      <c r="E92" s="11">
        <f>Tableau3384[[#This Row],[Montant
EUR]]*Tableau3384[[#This Row],[Taux 
de change]]</f>
        <v>20050.621073079998</v>
      </c>
      <c r="F92" s="88">
        <v>0</v>
      </c>
      <c r="G92" s="80"/>
      <c r="H92" s="136">
        <f>Tableau3384[[#This Row],[Montant
CHF]]+Tableau3384[[#This Row],[Abzug/Spesen
CHF]]</f>
        <v>20050.621073079998</v>
      </c>
      <c r="I92" s="39">
        <v>0.98558199999999996</v>
      </c>
      <c r="J92" s="40">
        <v>20343.939999999999</v>
      </c>
      <c r="K92" s="189"/>
      <c r="L92" s="298"/>
      <c r="M92" s="81"/>
      <c r="N92" s="21">
        <v>45389</v>
      </c>
      <c r="O92" s="282" t="str">
        <f>IF(Tableau3384[[#This Row],[Date du paiement]]&gt;0,"",Tableau3384[[#This Row],[Montant
CHF]])</f>
        <v/>
      </c>
      <c r="P92" s="276" t="str">
        <f>IF(Tableau3384[[#This Row],[Date du paiement]]="",$B$4-Tableau3384[[#This Row],[Écheance]],"")</f>
        <v/>
      </c>
      <c r="Q92" s="168" t="str">
        <f>IF(Tableau3384[[#This Row],[Date du paiement]]="",IF(Tableau3384[[#This Row],[jours jusqu''à l''écheance]]&gt;0,Tableau3384[[#This Row],[Montant
CHF]],""),"")</f>
        <v/>
      </c>
      <c r="R92" s="298" t="str">
        <f>IF(Tableau3384[[#This Row],[Date du paiement]]="",IF(Tableau3384[[#This Row],[jours jusqu''à l''écheance]]-($B$4-$B$11-1)&gt;0,Tableau3384[[#This Row],[Montant
CHF]],""),"")</f>
        <v/>
      </c>
      <c r="S92" s="142"/>
      <c r="T92" s="95" t="str">
        <f>IF(Tableau3384[[#This Row],[Paiements prevus]]="oui",Tableau3384[[#This Row],[Montant prevu à payer CH]],"")</f>
        <v/>
      </c>
      <c r="U92" s="129"/>
      <c r="V92" s="73"/>
      <c r="W92" s="68"/>
      <c r="X92" s="23">
        <v>45391</v>
      </c>
      <c r="Y92" s="7" t="s">
        <v>58</v>
      </c>
      <c r="Z92" s="120" t="str">
        <f>IF(Tableau3384[[#This Row],[Méthode du paiement]]="Mastercard","OUI","")</f>
        <v/>
      </c>
      <c r="AA92" s="6" t="s">
        <v>14</v>
      </c>
      <c r="AB92" s="6" t="s">
        <v>122</v>
      </c>
    </row>
    <row r="93" spans="1:28" hidden="1" x14ac:dyDescent="0.25">
      <c r="A93" s="9" t="s">
        <v>210</v>
      </c>
      <c r="B93" s="21">
        <v>45330</v>
      </c>
      <c r="C93" s="21">
        <v>45330</v>
      </c>
      <c r="D93" s="22" t="s">
        <v>209</v>
      </c>
      <c r="E93" s="11">
        <v>3346.8</v>
      </c>
      <c r="F93" s="88">
        <v>8.1</v>
      </c>
      <c r="G93" s="80"/>
      <c r="H93" s="136">
        <f>Tableau3384[[#This Row],[Montant
CHF]]+Tableau3384[[#This Row],[Abzug/Spesen
CHF]]</f>
        <v>3346.8</v>
      </c>
      <c r="I93" s="39"/>
      <c r="J93" s="40"/>
      <c r="K93" s="189"/>
      <c r="L93" s="298"/>
      <c r="M93" s="81"/>
      <c r="N93" s="21">
        <v>45330</v>
      </c>
      <c r="O93" s="282" t="str">
        <f>IF(Tableau3384[[#This Row],[Date du paiement]]&gt;0,"",Tableau3384[[#This Row],[Montant
CHF]])</f>
        <v/>
      </c>
      <c r="P93" s="276" t="str">
        <f>IF(Tableau3384[[#This Row],[Date du paiement]]="",$B$4-Tableau3384[[#This Row],[Écheance]],"")</f>
        <v/>
      </c>
      <c r="Q93" s="168" t="str">
        <f>IF(Tableau3384[[#This Row],[Date du paiement]]="",IF(Tableau3384[[#This Row],[jours jusqu''à l''écheance]]&gt;0,Tableau3384[[#This Row],[Montant
CHF]],""),"")</f>
        <v/>
      </c>
      <c r="R93" s="298" t="str">
        <f>IF(Tableau3384[[#This Row],[Date du paiement]]="",IF(Tableau3384[[#This Row],[jours jusqu''à l''écheance]]-($B$4-$B$11-1)&gt;0,Tableau3384[[#This Row],[Montant
CHF]],""),"")</f>
        <v/>
      </c>
      <c r="S93" s="142"/>
      <c r="T93" s="95" t="str">
        <f>IF(Tableau3384[[#This Row],[Paiements prevus]]="oui",Tableau3384[[#This Row],[Montant prevu à payer CH]],"")</f>
        <v/>
      </c>
      <c r="U93" s="129"/>
      <c r="V93" s="73"/>
      <c r="W93" s="68"/>
      <c r="X93" s="23">
        <v>45334</v>
      </c>
      <c r="Y93" s="7" t="s">
        <v>345</v>
      </c>
      <c r="Z93" s="120" t="str">
        <f>IF(Tableau3384[[#This Row],[Méthode du paiement]]="Mastercard","OUI","")</f>
        <v/>
      </c>
      <c r="AA93" s="6" t="s">
        <v>14</v>
      </c>
      <c r="AB93" s="6" t="s">
        <v>214</v>
      </c>
    </row>
    <row r="94" spans="1:28" hidden="1" x14ac:dyDescent="0.25">
      <c r="A94" s="9" t="s">
        <v>123</v>
      </c>
      <c r="B94" s="21">
        <v>45330</v>
      </c>
      <c r="C94" s="21">
        <v>45330</v>
      </c>
      <c r="D94" s="22" t="s">
        <v>25</v>
      </c>
      <c r="E94" s="11">
        <v>40</v>
      </c>
      <c r="F94" s="88">
        <v>0</v>
      </c>
      <c r="G94" s="80"/>
      <c r="H94" s="136">
        <f>Tableau3384[[#This Row],[Montant
CHF]]+Tableau3384[[#This Row],[Abzug/Spesen
CHF]]</f>
        <v>40</v>
      </c>
      <c r="I94" s="39"/>
      <c r="J94" s="40"/>
      <c r="K94" s="189"/>
      <c r="L94" s="298"/>
      <c r="M94" s="81"/>
      <c r="N94" s="21">
        <v>45350</v>
      </c>
      <c r="O94" s="282" t="str">
        <f>IF(Tableau3384[[#This Row],[Date du paiement]]&gt;0,"",Tableau3384[[#This Row],[Montant
CHF]])</f>
        <v/>
      </c>
      <c r="P94" s="276" t="str">
        <f>IF(Tableau3384[[#This Row],[Date du paiement]]="",$B$4-Tableau3384[[#This Row],[Écheance]],"")</f>
        <v/>
      </c>
      <c r="Q94" s="168" t="str">
        <f>IF(Tableau3384[[#This Row],[Date du paiement]]="",IF(Tableau3384[[#This Row],[jours jusqu''à l''écheance]]&gt;0,Tableau3384[[#This Row],[Montant
CHF]],""),"")</f>
        <v/>
      </c>
      <c r="R94" s="298" t="str">
        <f>IF(Tableau3384[[#This Row],[Date du paiement]]="",IF(Tableau3384[[#This Row],[jours jusqu''à l''écheance]]-($B$4-$B$11-1)&gt;0,Tableau3384[[#This Row],[Montant
CHF]],""),"")</f>
        <v/>
      </c>
      <c r="S94" s="142"/>
      <c r="T94" s="95" t="str">
        <f>IF(Tableau3384[[#This Row],[Paiements prevus]]="oui",Tableau3384[[#This Row],[Montant prevu à payer CH]],"")</f>
        <v/>
      </c>
      <c r="U94" s="129"/>
      <c r="V94" s="73"/>
      <c r="W94" s="68"/>
      <c r="X94" s="23">
        <v>45359</v>
      </c>
      <c r="Y94" s="7" t="s">
        <v>58</v>
      </c>
      <c r="Z94" s="120" t="str">
        <f>IF(Tableau3384[[#This Row],[Méthode du paiement]]="Mastercard","OUI","")</f>
        <v/>
      </c>
      <c r="AA94" s="6" t="s">
        <v>26</v>
      </c>
      <c r="AB94" s="6" t="s">
        <v>124</v>
      </c>
    </row>
    <row r="95" spans="1:28" hidden="1" x14ac:dyDescent="0.25">
      <c r="A95" s="9" t="s">
        <v>177</v>
      </c>
      <c r="B95" s="21">
        <v>45330</v>
      </c>
      <c r="C95" s="21">
        <v>45331</v>
      </c>
      <c r="D95" s="22" t="s">
        <v>92</v>
      </c>
      <c r="E95" s="11">
        <v>28.95</v>
      </c>
      <c r="F95" s="88">
        <v>8.1</v>
      </c>
      <c r="G95" s="80"/>
      <c r="H95" s="136">
        <f>Tableau3384[[#This Row],[Montant
CHF]]+Tableau3384[[#This Row],[Abzug/Spesen
CHF]]</f>
        <v>28.95</v>
      </c>
      <c r="I95" s="39"/>
      <c r="J95" s="40"/>
      <c r="K95" s="189"/>
      <c r="L95" s="298"/>
      <c r="M95" s="81"/>
      <c r="N95" s="21">
        <v>45340</v>
      </c>
      <c r="O95" s="282" t="str">
        <f>IF(Tableau3384[[#This Row],[Date du paiement]]&gt;0,"",Tableau3384[[#This Row],[Montant
CHF]])</f>
        <v/>
      </c>
      <c r="P95" s="276" t="str">
        <f>IF(Tableau3384[[#This Row],[Date du paiement]]="",$B$4-Tableau3384[[#This Row],[Écheance]],"")</f>
        <v/>
      </c>
      <c r="Q95" s="168" t="str">
        <f>IF(Tableau3384[[#This Row],[Date du paiement]]="",IF(Tableau3384[[#This Row],[jours jusqu''à l''écheance]]&gt;0,Tableau3384[[#This Row],[Montant
CHF]],""),"")</f>
        <v/>
      </c>
      <c r="R95" s="298" t="str">
        <f>IF(Tableau3384[[#This Row],[Date du paiement]]="",IF(Tableau3384[[#This Row],[jours jusqu''à l''écheance]]-($B$4-$B$11-1)&gt;0,Tableau3384[[#This Row],[Montant
CHF]],""),"")</f>
        <v/>
      </c>
      <c r="S95" s="142"/>
      <c r="T95" s="95" t="str">
        <f>IF(Tableau3384[[#This Row],[Paiements prevus]]="oui",Tableau3384[[#This Row],[Montant prevu à payer CH]],"")</f>
        <v/>
      </c>
      <c r="U95" s="129"/>
      <c r="V95" s="73"/>
      <c r="W95" s="68"/>
      <c r="X95" s="23">
        <v>45359</v>
      </c>
      <c r="Y95" s="7" t="s">
        <v>58</v>
      </c>
      <c r="Z95" s="120" t="str">
        <f>IF(Tableau3384[[#This Row],[Méthode du paiement]]="Mastercard","OUI","")</f>
        <v/>
      </c>
      <c r="AA95" s="6" t="s">
        <v>14</v>
      </c>
      <c r="AB95" s="6" t="s">
        <v>178</v>
      </c>
    </row>
    <row r="96" spans="1:28" hidden="1" x14ac:dyDescent="0.25">
      <c r="A96" s="9" t="s">
        <v>147</v>
      </c>
      <c r="B96" s="21">
        <v>45330</v>
      </c>
      <c r="C96" s="21">
        <v>45348</v>
      </c>
      <c r="D96" s="22" t="s">
        <v>148</v>
      </c>
      <c r="E96" s="11">
        <v>472.7</v>
      </c>
      <c r="F96" s="88">
        <v>8.1</v>
      </c>
      <c r="G96" s="80"/>
      <c r="H96" s="136">
        <f>Tableau3384[[#This Row],[Montant
CHF]]+Tableau3384[[#This Row],[Abzug/Spesen
CHF]]</f>
        <v>472.7</v>
      </c>
      <c r="I96" s="39"/>
      <c r="J96" s="40"/>
      <c r="K96" s="189"/>
      <c r="L96" s="298"/>
      <c r="M96" s="81" t="s">
        <v>149</v>
      </c>
      <c r="N96" s="21">
        <v>45330</v>
      </c>
      <c r="O96" s="282" t="str">
        <f>IF(Tableau3384[[#This Row],[Date du paiement]]&gt;0,"",Tableau3384[[#This Row],[Montant
CHF]])</f>
        <v/>
      </c>
      <c r="P96" s="276" t="str">
        <f>IF(Tableau3384[[#This Row],[Date du paiement]]="",$B$4-Tableau3384[[#This Row],[Écheance]],"")</f>
        <v/>
      </c>
      <c r="Q96" s="168" t="str">
        <f>IF(Tableau3384[[#This Row],[Date du paiement]]="",IF(Tableau3384[[#This Row],[jours jusqu''à l''écheance]]&gt;0,Tableau3384[[#This Row],[Montant
CHF]],""),"")</f>
        <v/>
      </c>
      <c r="R96" s="298" t="str">
        <f>IF(Tableau3384[[#This Row],[Date du paiement]]="",IF(Tableau3384[[#This Row],[jours jusqu''à l''écheance]]-($B$4-$B$11-1)&gt;0,Tableau3384[[#This Row],[Montant
CHF]],""),"")</f>
        <v/>
      </c>
      <c r="S96" s="142"/>
      <c r="T96" s="95" t="str">
        <f>IF(Tableau3384[[#This Row],[Paiements prevus]]="oui",Tableau3384[[#This Row],[Montant prevu à payer CH]],"")</f>
        <v/>
      </c>
      <c r="U96" s="129"/>
      <c r="V96" s="73"/>
      <c r="W96" s="68"/>
      <c r="X96" s="23">
        <v>45330</v>
      </c>
      <c r="Y96" s="181" t="s">
        <v>1375</v>
      </c>
      <c r="Z96" s="120" t="str">
        <f>IF(Tableau3384[[#This Row],[Méthode du paiement]]="Mastercard","OUI","")</f>
        <v/>
      </c>
      <c r="AA96" s="6" t="s">
        <v>102</v>
      </c>
      <c r="AB96" s="6" t="s">
        <v>151</v>
      </c>
    </row>
    <row r="97" spans="1:35" hidden="1" x14ac:dyDescent="0.25">
      <c r="A97" s="9" t="s">
        <v>158</v>
      </c>
      <c r="B97" s="21">
        <v>45331</v>
      </c>
      <c r="C97" s="21">
        <v>45331</v>
      </c>
      <c r="D97" s="22" t="s">
        <v>196</v>
      </c>
      <c r="E97" s="11">
        <v>1711.7</v>
      </c>
      <c r="F97" s="88">
        <v>8.1</v>
      </c>
      <c r="G97" s="80"/>
      <c r="H97" s="136">
        <f>Tableau3384[[#This Row],[Montant
CHF]]+Tableau3384[[#This Row],[Abzug/Spesen
CHF]]</f>
        <v>1711.7</v>
      </c>
      <c r="I97" s="39"/>
      <c r="J97" s="40"/>
      <c r="K97" s="189"/>
      <c r="L97" s="298"/>
      <c r="M97" s="81"/>
      <c r="N97" s="21">
        <v>45341</v>
      </c>
      <c r="O97" s="282" t="str">
        <f>IF(Tableau3384[[#This Row],[Date du paiement]]&gt;0,"",Tableau3384[[#This Row],[Montant
CHF]])</f>
        <v/>
      </c>
      <c r="P97" s="276" t="str">
        <f>IF(Tableau3384[[#This Row],[Date du paiement]]="",$B$4-Tableau3384[[#This Row],[Écheance]],"")</f>
        <v/>
      </c>
      <c r="Q97" s="168" t="str">
        <f>IF(Tableau3384[[#This Row],[Date du paiement]]="",IF(Tableau3384[[#This Row],[jours jusqu''à l''écheance]]&gt;0,Tableau3384[[#This Row],[Montant
CHF]],""),"")</f>
        <v/>
      </c>
      <c r="R97" s="298" t="str">
        <f>IF(Tableau3384[[#This Row],[Date du paiement]]="",IF(Tableau3384[[#This Row],[jours jusqu''à l''écheance]]-($B$4-$B$11-1)&gt;0,Tableau3384[[#This Row],[Montant
CHF]],""),"")</f>
        <v/>
      </c>
      <c r="S97" s="142"/>
      <c r="T97" s="95" t="str">
        <f>IF(Tableau3384[[#This Row],[Paiements prevus]]="oui",Tableau3384[[#This Row],[Montant prevu à payer CH]],"")</f>
        <v/>
      </c>
      <c r="U97" s="129"/>
      <c r="V97" s="73"/>
      <c r="W97" s="68"/>
      <c r="X97" s="23">
        <v>45372</v>
      </c>
      <c r="Y97" s="7" t="s">
        <v>58</v>
      </c>
      <c r="Z97" s="120" t="str">
        <f>IF(Tableau3384[[#This Row],[Méthode du paiement]]="Mastercard","OUI","")</f>
        <v/>
      </c>
      <c r="AA97" s="6" t="s">
        <v>4</v>
      </c>
      <c r="AB97" s="6" t="s">
        <v>159</v>
      </c>
    </row>
    <row r="98" spans="1:35" hidden="1" x14ac:dyDescent="0.25">
      <c r="A98" s="9" t="s">
        <v>142</v>
      </c>
      <c r="B98" s="21">
        <v>45331</v>
      </c>
      <c r="C98" s="21">
        <v>45334</v>
      </c>
      <c r="D98" s="22" t="s">
        <v>10</v>
      </c>
      <c r="E98" s="11">
        <v>203.65</v>
      </c>
      <c r="F98" s="88">
        <v>8.1</v>
      </c>
      <c r="G98" s="80"/>
      <c r="H98" s="136">
        <f>Tableau3384[[#This Row],[Montant
CHF]]+Tableau3384[[#This Row],[Abzug/Spesen
CHF]]</f>
        <v>203.65</v>
      </c>
      <c r="I98" s="39"/>
      <c r="J98" s="40"/>
      <c r="K98" s="189"/>
      <c r="L98" s="298"/>
      <c r="M98" s="81"/>
      <c r="N98" s="21">
        <v>45360</v>
      </c>
      <c r="O98" s="282" t="str">
        <f>IF(Tableau3384[[#This Row],[Date du paiement]]&gt;0,"",Tableau3384[[#This Row],[Montant
CHF]])</f>
        <v/>
      </c>
      <c r="P98" s="276" t="str">
        <f>IF(Tableau3384[[#This Row],[Date du paiement]]="",$B$4-Tableau3384[[#This Row],[Écheance]],"")</f>
        <v/>
      </c>
      <c r="Q98" s="168" t="str">
        <f>IF(Tableau3384[[#This Row],[Date du paiement]]="",IF(Tableau3384[[#This Row],[jours jusqu''à l''écheance]]&gt;0,Tableau3384[[#This Row],[Montant
CHF]],""),"")</f>
        <v/>
      </c>
      <c r="R98" s="298" t="str">
        <f>IF(Tableau3384[[#This Row],[Date du paiement]]="",IF(Tableau3384[[#This Row],[jours jusqu''à l''écheance]]-($B$4-$B$11-1)&gt;0,Tableau3384[[#This Row],[Montant
CHF]],""),"")</f>
        <v/>
      </c>
      <c r="S98" s="142"/>
      <c r="T98" s="95" t="str">
        <f>IF(Tableau3384[[#This Row],[Paiements prevus]]="oui",Tableau3384[[#This Row],[Montant prevu à payer CH]],"")</f>
        <v/>
      </c>
      <c r="U98" s="129"/>
      <c r="V98" s="73"/>
      <c r="W98" s="68"/>
      <c r="X98" s="23">
        <v>45372</v>
      </c>
      <c r="Y98" s="7" t="s">
        <v>58</v>
      </c>
      <c r="Z98" s="120" t="str">
        <f>IF(Tableau3384[[#This Row],[Méthode du paiement]]="Mastercard","OUI","")</f>
        <v/>
      </c>
      <c r="AA98" s="6" t="s">
        <v>294</v>
      </c>
      <c r="AB98" s="6" t="s">
        <v>143</v>
      </c>
    </row>
    <row r="99" spans="1:35" hidden="1" x14ac:dyDescent="0.25">
      <c r="A99" s="9" t="s">
        <v>144</v>
      </c>
      <c r="B99" s="21">
        <v>45331</v>
      </c>
      <c r="C99" s="21">
        <v>45335</v>
      </c>
      <c r="D99" s="22" t="s">
        <v>145</v>
      </c>
      <c r="E99" s="11">
        <v>3999.5</v>
      </c>
      <c r="F99" s="88">
        <v>8.1</v>
      </c>
      <c r="G99" s="80"/>
      <c r="H99" s="136">
        <f>Tableau3384[[#This Row],[Montant
CHF]]+Tableau3384[[#This Row],[Abzug/Spesen
CHF]]</f>
        <v>3999.5</v>
      </c>
      <c r="I99" s="39"/>
      <c r="J99" s="40"/>
      <c r="K99" s="189"/>
      <c r="L99" s="298"/>
      <c r="M99" s="81"/>
      <c r="N99" s="21">
        <v>45360</v>
      </c>
      <c r="O99" s="282" t="str">
        <f>IF(Tableau3384[[#This Row],[Date du paiement]]&gt;0,"",Tableau3384[[#This Row],[Montant
CHF]])</f>
        <v/>
      </c>
      <c r="P99" s="276" t="str">
        <f>IF(Tableau3384[[#This Row],[Date du paiement]]="",$B$4-Tableau3384[[#This Row],[Écheance]],"")</f>
        <v/>
      </c>
      <c r="Q99" s="168" t="str">
        <f>IF(Tableau3384[[#This Row],[Date du paiement]]="",IF(Tableau3384[[#This Row],[jours jusqu''à l''écheance]]&gt;0,Tableau3384[[#This Row],[Montant
CHF]],""),"")</f>
        <v/>
      </c>
      <c r="R99" s="298" t="str">
        <f>IF(Tableau3384[[#This Row],[Date du paiement]]="",IF(Tableau3384[[#This Row],[jours jusqu''à l''écheance]]-($B$4-$B$11-1)&gt;0,Tableau3384[[#This Row],[Montant
CHF]],""),"")</f>
        <v/>
      </c>
      <c r="S99" s="142"/>
      <c r="T99" s="95" t="str">
        <f>IF(Tableau3384[[#This Row],[Paiements prevus]]="oui",Tableau3384[[#This Row],[Montant prevu à payer CH]],"")</f>
        <v/>
      </c>
      <c r="U99" s="129"/>
      <c r="V99" s="73"/>
      <c r="W99" s="68"/>
      <c r="X99" s="23">
        <v>45343</v>
      </c>
      <c r="Y99" s="7" t="s">
        <v>58</v>
      </c>
      <c r="Z99" s="120" t="str">
        <f>IF(Tableau3384[[#This Row],[Méthode du paiement]]="Mastercard","OUI","")</f>
        <v/>
      </c>
      <c r="AA99" s="6" t="s">
        <v>14</v>
      </c>
      <c r="AB99" s="6" t="s">
        <v>146</v>
      </c>
    </row>
    <row r="100" spans="1:35" hidden="1" x14ac:dyDescent="0.25">
      <c r="A100" s="9" t="s">
        <v>107</v>
      </c>
      <c r="B100" s="21">
        <v>45332</v>
      </c>
      <c r="C100" s="21">
        <v>45325</v>
      </c>
      <c r="D100" s="22" t="s">
        <v>108</v>
      </c>
      <c r="E100" s="11">
        <v>25.35</v>
      </c>
      <c r="F100" s="88">
        <v>0</v>
      </c>
      <c r="G100" s="80"/>
      <c r="H100" s="136">
        <f>Tableau3384[[#This Row],[Montant
CHF]]+Tableau3384[[#This Row],[Abzug/Spesen
CHF]]</f>
        <v>25.35</v>
      </c>
      <c r="I100" s="39"/>
      <c r="J100" s="40"/>
      <c r="K100" s="189"/>
      <c r="L100" s="298"/>
      <c r="M100" s="81"/>
      <c r="N100" s="21">
        <v>45332</v>
      </c>
      <c r="O100" s="282" t="str">
        <f>IF(Tableau3384[[#This Row],[Date du paiement]]&gt;0,"",Tableau3384[[#This Row],[Montant
CHF]])</f>
        <v/>
      </c>
      <c r="P100" s="276" t="str">
        <f>IF(Tableau3384[[#This Row],[Date du paiement]]="",$B$4-Tableau3384[[#This Row],[Écheance]],"")</f>
        <v/>
      </c>
      <c r="Q100" s="168" t="str">
        <f>IF(Tableau3384[[#This Row],[Date du paiement]]="",IF(Tableau3384[[#This Row],[jours jusqu''à l''écheance]]&gt;0,Tableau3384[[#This Row],[Montant
CHF]],""),"")</f>
        <v/>
      </c>
      <c r="R100" s="298" t="str">
        <f>IF(Tableau3384[[#This Row],[Date du paiement]]="",IF(Tableau3384[[#This Row],[jours jusqu''à l''écheance]]-($B$4-$B$11-1)&gt;0,Tableau3384[[#This Row],[Montant
CHF]],""),"")</f>
        <v/>
      </c>
      <c r="S100" s="142"/>
      <c r="T100" s="95" t="str">
        <f>IF(Tableau3384[[#This Row],[Paiements prevus]]="oui",Tableau3384[[#This Row],[Montant prevu à payer CH]],"")</f>
        <v/>
      </c>
      <c r="U100" s="129"/>
      <c r="V100" s="73"/>
      <c r="W100" s="68"/>
      <c r="X100" s="23">
        <v>45352</v>
      </c>
      <c r="Y100" s="7" t="s">
        <v>58</v>
      </c>
      <c r="Z100" s="120" t="str">
        <f>IF(Tableau3384[[#This Row],[Méthode du paiement]]="Mastercard","OUI","")</f>
        <v/>
      </c>
      <c r="AA100" s="6" t="s">
        <v>11</v>
      </c>
      <c r="AB100" s="6" t="s">
        <v>8</v>
      </c>
      <c r="AC100" s="5"/>
      <c r="AD100" s="5"/>
      <c r="AE100" s="5"/>
      <c r="AF100" s="5"/>
      <c r="AG100" s="5"/>
      <c r="AH100" s="5"/>
      <c r="AI100" s="5"/>
    </row>
    <row r="101" spans="1:35" hidden="1" x14ac:dyDescent="0.25">
      <c r="A101" s="9" t="s">
        <v>211</v>
      </c>
      <c r="B101" s="21">
        <v>45334</v>
      </c>
      <c r="C101" s="21">
        <v>45334</v>
      </c>
      <c r="D101" s="22" t="s">
        <v>209</v>
      </c>
      <c r="E101" s="11">
        <v>3346.8</v>
      </c>
      <c r="F101" s="88">
        <v>8.1</v>
      </c>
      <c r="G101" s="80"/>
      <c r="H101" s="136">
        <f>Tableau3384[[#This Row],[Montant
CHF]]+Tableau3384[[#This Row],[Abzug/Spesen
CHF]]</f>
        <v>3346.8</v>
      </c>
      <c r="I101" s="39"/>
      <c r="J101" s="40"/>
      <c r="K101" s="189"/>
      <c r="L101" s="298"/>
      <c r="M101" s="81"/>
      <c r="N101" s="21">
        <v>45334</v>
      </c>
      <c r="O101" s="282" t="str">
        <f>IF(Tableau3384[[#This Row],[Date du paiement]]&gt;0,"",Tableau3384[[#This Row],[Montant
CHF]])</f>
        <v/>
      </c>
      <c r="P101" s="276" t="str">
        <f>IF(Tableau3384[[#This Row],[Date du paiement]]="",$B$4-Tableau3384[[#This Row],[Écheance]],"")</f>
        <v/>
      </c>
      <c r="Q101" s="168" t="str">
        <f>IF(Tableau3384[[#This Row],[Date du paiement]]="",IF(Tableau3384[[#This Row],[jours jusqu''à l''écheance]]&gt;0,Tableau3384[[#This Row],[Montant
CHF]],""),"")</f>
        <v/>
      </c>
      <c r="R101" s="298" t="str">
        <f>IF(Tableau3384[[#This Row],[Date du paiement]]="",IF(Tableau3384[[#This Row],[jours jusqu''à l''écheance]]-($B$4-$B$11-1)&gt;0,Tableau3384[[#This Row],[Montant
CHF]],""),"")</f>
        <v/>
      </c>
      <c r="S101" s="142"/>
      <c r="T101" s="95" t="str">
        <f>IF(Tableau3384[[#This Row],[Paiements prevus]]="oui",Tableau3384[[#This Row],[Montant prevu à payer CH]],"")</f>
        <v/>
      </c>
      <c r="U101" s="129"/>
      <c r="V101" s="73"/>
      <c r="W101" s="68"/>
      <c r="X101" s="23">
        <v>45335</v>
      </c>
      <c r="Y101" s="7" t="s">
        <v>345</v>
      </c>
      <c r="Z101" s="120" t="str">
        <f>IF(Tableau3384[[#This Row],[Méthode du paiement]]="Mastercard","OUI","")</f>
        <v/>
      </c>
      <c r="AA101" s="6" t="s">
        <v>14</v>
      </c>
      <c r="AB101" s="6" t="s">
        <v>214</v>
      </c>
      <c r="AC101" s="5"/>
      <c r="AD101" s="5"/>
      <c r="AE101" s="5"/>
      <c r="AF101" s="5"/>
      <c r="AG101" s="5"/>
      <c r="AH101" s="5"/>
      <c r="AI101" s="5"/>
    </row>
    <row r="102" spans="1:35" hidden="1" x14ac:dyDescent="0.25">
      <c r="A102" s="9" t="s">
        <v>308</v>
      </c>
      <c r="B102" s="21">
        <v>45334</v>
      </c>
      <c r="C102" s="21">
        <v>45334</v>
      </c>
      <c r="D102" s="22" t="s">
        <v>216</v>
      </c>
      <c r="E102" s="11">
        <v>863.3</v>
      </c>
      <c r="F102" s="88">
        <v>100</v>
      </c>
      <c r="G102" s="80"/>
      <c r="H102" s="136">
        <f>Tableau3384[[#This Row],[Montant
CHF]]+Tableau3384[[#This Row],[Abzug/Spesen
CHF]]</f>
        <v>863.3</v>
      </c>
      <c r="I102" s="39"/>
      <c r="J102" s="40"/>
      <c r="K102" s="189"/>
      <c r="L102" s="298"/>
      <c r="M102" s="81"/>
      <c r="N102" s="21">
        <f>Tableau3384[[#This Row],[Date de 
la facture]]+60</f>
        <v>45394</v>
      </c>
      <c r="O102" s="282" t="str">
        <f>IF(Tableau3384[[#This Row],[Date du paiement]]&gt;0,"",Tableau3384[[#This Row],[Montant
CHF]])</f>
        <v/>
      </c>
      <c r="P102" s="276" t="str">
        <f>IF(Tableau3384[[#This Row],[Date du paiement]]="",$B$4-Tableau3384[[#This Row],[Écheance]],"")</f>
        <v/>
      </c>
      <c r="Q102" s="168" t="str">
        <f>IF(Tableau3384[[#This Row],[Date du paiement]]="",IF(Tableau3384[[#This Row],[jours jusqu''à l''écheance]]&gt;0,Tableau3384[[#This Row],[Montant
CHF]],""),"")</f>
        <v/>
      </c>
      <c r="R102" s="298" t="str">
        <f>IF(Tableau3384[[#This Row],[Date du paiement]]="",IF(Tableau3384[[#This Row],[jours jusqu''à l''écheance]]-($B$4-$B$11-1)&gt;0,Tableau3384[[#This Row],[Montant
CHF]],""),"")</f>
        <v/>
      </c>
      <c r="S102" s="142"/>
      <c r="T102" s="95" t="str">
        <f>IF(Tableau3384[[#This Row],[Paiements prevus]]="oui",Tableau3384[[#This Row],[Montant prevu à payer CH]],"")</f>
        <v/>
      </c>
      <c r="U102" s="129"/>
      <c r="V102" s="73"/>
      <c r="W102" s="68"/>
      <c r="X102" s="23">
        <v>45398</v>
      </c>
      <c r="Y102" s="7" t="s">
        <v>58</v>
      </c>
      <c r="Z102" s="120" t="str">
        <f>IF(Tableau3384[[#This Row],[Méthode du paiement]]="Mastercard","OUI","")</f>
        <v/>
      </c>
      <c r="AA102" s="180" t="s">
        <v>604</v>
      </c>
      <c r="AB102" s="6" t="s">
        <v>126</v>
      </c>
      <c r="AC102" s="5"/>
      <c r="AD102" s="5"/>
      <c r="AE102" s="5"/>
      <c r="AF102" s="5"/>
      <c r="AG102" s="5"/>
      <c r="AH102" s="5"/>
      <c r="AI102" s="5"/>
    </row>
    <row r="103" spans="1:35" hidden="1" x14ac:dyDescent="0.25">
      <c r="A103" s="9" t="s">
        <v>56</v>
      </c>
      <c r="B103" s="21">
        <v>45334</v>
      </c>
      <c r="C103" s="21">
        <v>45338</v>
      </c>
      <c r="D103" s="22" t="s">
        <v>57</v>
      </c>
      <c r="E103" s="11">
        <v>610.65</v>
      </c>
      <c r="F103" s="88" t="s">
        <v>0</v>
      </c>
      <c r="G103" s="80"/>
      <c r="H103" s="136">
        <f>Tableau3384[[#This Row],[Montant
CHF]]+Tableau3384[[#This Row],[Abzug/Spesen
CHF]]</f>
        <v>610.65</v>
      </c>
      <c r="I103" s="39"/>
      <c r="J103" s="40"/>
      <c r="K103" s="189"/>
      <c r="L103" s="298"/>
      <c r="M103" s="81"/>
      <c r="N103" s="21">
        <v>45353</v>
      </c>
      <c r="O103" s="282" t="str">
        <f>IF(Tableau3384[[#This Row],[Date du paiement]]&gt;0,"",Tableau3384[[#This Row],[Montant
CHF]])</f>
        <v/>
      </c>
      <c r="P103" s="276" t="str">
        <f>IF(Tableau3384[[#This Row],[Date du paiement]]="",$B$4-Tableau3384[[#This Row],[Écheance]],"")</f>
        <v/>
      </c>
      <c r="Q103" s="168" t="str">
        <f>IF(Tableau3384[[#This Row],[Date du paiement]]="",IF(Tableau3384[[#This Row],[jours jusqu''à l''écheance]]&gt;0,Tableau3384[[#This Row],[Montant
CHF]],""),"")</f>
        <v/>
      </c>
      <c r="R103" s="298" t="str">
        <f>IF(Tableau3384[[#This Row],[Date du paiement]]="",IF(Tableau3384[[#This Row],[jours jusqu''à l''écheance]]-($B$4-$B$11-1)&gt;0,Tableau3384[[#This Row],[Montant
CHF]],""),"")</f>
        <v/>
      </c>
      <c r="S103" s="142"/>
      <c r="T103" s="95" t="str">
        <f>IF(Tableau3384[[#This Row],[Paiements prevus]]="oui",Tableau3384[[#This Row],[Montant prevu à payer CH]],"")</f>
        <v/>
      </c>
      <c r="U103" s="129"/>
      <c r="V103" s="73"/>
      <c r="W103" s="68"/>
      <c r="X103" s="23">
        <v>45364</v>
      </c>
      <c r="Y103" s="7" t="s">
        <v>58</v>
      </c>
      <c r="Z103" s="120" t="str">
        <f>IF(Tableau3384[[#This Row],[Méthode du paiement]]="Mastercard","OUI","")</f>
        <v/>
      </c>
      <c r="AA103" s="6" t="s">
        <v>43</v>
      </c>
      <c r="AB103" s="6" t="s">
        <v>8</v>
      </c>
      <c r="AC103" s="5"/>
      <c r="AD103" s="5"/>
      <c r="AE103" s="5"/>
      <c r="AF103" s="5"/>
      <c r="AG103" s="5"/>
      <c r="AH103" s="5"/>
      <c r="AI103" s="5"/>
    </row>
    <row r="104" spans="1:35" hidden="1" x14ac:dyDescent="0.25">
      <c r="A104" s="9" t="s">
        <v>163</v>
      </c>
      <c r="B104" s="21">
        <v>45334</v>
      </c>
      <c r="C104" s="21">
        <v>45338</v>
      </c>
      <c r="D104" s="22" t="s">
        <v>164</v>
      </c>
      <c r="E104" s="11">
        <v>-498.35</v>
      </c>
      <c r="F104" s="88">
        <v>0</v>
      </c>
      <c r="G104" s="80"/>
      <c r="H104" s="136">
        <f>Tableau3384[[#This Row],[Montant
CHF]]+Tableau3384[[#This Row],[Abzug/Spesen
CHF]]</f>
        <v>-498.35</v>
      </c>
      <c r="I104" s="39"/>
      <c r="J104" s="40"/>
      <c r="K104" s="189"/>
      <c r="L104" s="298"/>
      <c r="M104" s="81" t="s">
        <v>297</v>
      </c>
      <c r="N104" s="21">
        <v>45363</v>
      </c>
      <c r="O104" s="282" t="str">
        <f>IF(Tableau3384[[#This Row],[Date du paiement]]&gt;0,"",Tableau3384[[#This Row],[Montant
CHF]])</f>
        <v/>
      </c>
      <c r="P104" s="276" t="str">
        <f>IF(Tableau3384[[#This Row],[Date du paiement]]="",$B$4-Tableau3384[[#This Row],[Écheance]],"")</f>
        <v/>
      </c>
      <c r="Q104" s="168" t="str">
        <f>IF(Tableau3384[[#This Row],[Date du paiement]]="",IF(Tableau3384[[#This Row],[jours jusqu''à l''écheance]]&gt;0,Tableau3384[[#This Row],[Montant
CHF]],""),"")</f>
        <v/>
      </c>
      <c r="R104" s="298" t="str">
        <f>IF(Tableau3384[[#This Row],[Date du paiement]]="",IF(Tableau3384[[#This Row],[jours jusqu''à l''écheance]]-($B$4-$B$11-1)&gt;0,Tableau3384[[#This Row],[Montant
CHF]],""),"")</f>
        <v/>
      </c>
      <c r="S104" s="142"/>
      <c r="T104" s="95" t="str">
        <f>IF(Tableau3384[[#This Row],[Paiements prevus]]="oui",Tableau3384[[#This Row],[Montant prevu à payer CH]],"")</f>
        <v/>
      </c>
      <c r="U104" s="129"/>
      <c r="V104" s="73"/>
      <c r="W104" s="68"/>
      <c r="X104" s="23">
        <v>45391</v>
      </c>
      <c r="Y104" s="7" t="s">
        <v>58</v>
      </c>
      <c r="Z104" s="120" t="str">
        <f>IF(Tableau3384[[#This Row],[Méthode du paiement]]="Mastercard","OUI","")</f>
        <v/>
      </c>
      <c r="AA104" s="6" t="s">
        <v>4</v>
      </c>
      <c r="AB104" s="6" t="s">
        <v>356</v>
      </c>
    </row>
    <row r="105" spans="1:35" hidden="1" x14ac:dyDescent="0.25">
      <c r="A105" s="9" t="s">
        <v>472</v>
      </c>
      <c r="B105" s="21">
        <v>45336</v>
      </c>
      <c r="C105" s="21">
        <v>45336</v>
      </c>
      <c r="D105" s="22" t="s">
        <v>35</v>
      </c>
      <c r="E105" s="11">
        <v>4247.6499999999996</v>
      </c>
      <c r="F105" s="88">
        <v>0</v>
      </c>
      <c r="G105" s="80"/>
      <c r="H105" s="136">
        <f>Tableau3384[[#This Row],[Montant
CHF]]+Tableau3384[[#This Row],[Abzug/Spesen
CHF]]</f>
        <v>4247.6499999999996</v>
      </c>
      <c r="I105" s="39"/>
      <c r="J105" s="40"/>
      <c r="K105" s="189"/>
      <c r="L105" s="298"/>
      <c r="M105" s="194" t="s">
        <v>1255</v>
      </c>
      <c r="N105" s="21">
        <v>45362</v>
      </c>
      <c r="O105" s="282" t="str">
        <f>IF(Tableau3384[[#This Row],[Date du paiement]]&gt;0,"",Tableau3384[[#This Row],[Montant
CHF]])</f>
        <v/>
      </c>
      <c r="P105" s="276" t="str">
        <f>IF(Tableau3384[[#This Row],[Date du paiement]]="",$B$4-Tableau3384[[#This Row],[Écheance]],"")</f>
        <v/>
      </c>
      <c r="Q105" s="168" t="str">
        <f>IF(Tableau3384[[#This Row],[Date du paiement]]="",IF(Tableau3384[[#This Row],[jours jusqu''à l''écheance]]&gt;0,Tableau3384[[#This Row],[Montant
CHF]],""),"")</f>
        <v/>
      </c>
      <c r="R105" s="298" t="str">
        <f>IF(Tableau3384[[#This Row],[Date du paiement]]="",IF(Tableau3384[[#This Row],[jours jusqu''à l''écheance]]-($B$4-$B$11-1)&gt;0,Tableau3384[[#This Row],[Montant
CHF]],""),"")</f>
        <v/>
      </c>
      <c r="S105" s="142"/>
      <c r="T105" s="95" t="str">
        <f>IF(Tableau3384[[#This Row],[Paiements prevus]]="oui",Tableau3384[[#This Row],[Montant prevu à payer CH]],"")</f>
        <v/>
      </c>
      <c r="U105" s="129"/>
      <c r="V105" s="73"/>
      <c r="W105" s="68"/>
      <c r="X105" s="23">
        <v>45363</v>
      </c>
      <c r="Y105" s="7" t="s">
        <v>58</v>
      </c>
      <c r="Z105" s="120" t="str">
        <f>IF(Tableau3384[[#This Row],[Méthode du paiement]]="Mastercard","OUI","")</f>
        <v/>
      </c>
      <c r="AA105" s="6" t="s">
        <v>4</v>
      </c>
      <c r="AB105" s="6" t="s">
        <v>136</v>
      </c>
    </row>
    <row r="106" spans="1:35" hidden="1" x14ac:dyDescent="0.25">
      <c r="A106" s="9" t="s">
        <v>309</v>
      </c>
      <c r="B106" s="21">
        <v>45336</v>
      </c>
      <c r="C106" s="21">
        <v>45336</v>
      </c>
      <c r="D106" s="22" t="s">
        <v>216</v>
      </c>
      <c r="E106" s="11">
        <v>720.15</v>
      </c>
      <c r="F106" s="88">
        <v>100</v>
      </c>
      <c r="G106" s="80"/>
      <c r="H106" s="136">
        <f>Tableau3384[[#This Row],[Montant
CHF]]+Tableau3384[[#This Row],[Abzug/Spesen
CHF]]</f>
        <v>720.15</v>
      </c>
      <c r="I106" s="39"/>
      <c r="J106" s="40"/>
      <c r="K106" s="189"/>
      <c r="L106" s="298"/>
      <c r="M106" s="81"/>
      <c r="N106" s="21">
        <f>Tableau3384[[#This Row],[Date de 
la facture]]+60</f>
        <v>45396</v>
      </c>
      <c r="O106" s="282" t="str">
        <f>IF(Tableau3384[[#This Row],[Date du paiement]]&gt;0,"",Tableau3384[[#This Row],[Montant
CHF]])</f>
        <v/>
      </c>
      <c r="P106" s="276" t="str">
        <f>IF(Tableau3384[[#This Row],[Date du paiement]]="",$B$4-Tableau3384[[#This Row],[Écheance]],"")</f>
        <v/>
      </c>
      <c r="Q106" s="168" t="str">
        <f>IF(Tableau3384[[#This Row],[Date du paiement]]="",IF(Tableau3384[[#This Row],[jours jusqu''à l''écheance]]&gt;0,Tableau3384[[#This Row],[Montant
CHF]],""),"")</f>
        <v/>
      </c>
      <c r="R106" s="298" t="str">
        <f>IF(Tableau3384[[#This Row],[Date du paiement]]="",IF(Tableau3384[[#This Row],[jours jusqu''à l''écheance]]-($B$4-$B$11-1)&gt;0,Tableau3384[[#This Row],[Montant
CHF]],""),"")</f>
        <v/>
      </c>
      <c r="S106" s="142"/>
      <c r="T106" s="95" t="str">
        <f>IF(Tableau3384[[#This Row],[Paiements prevus]]="oui",Tableau3384[[#This Row],[Montant prevu à payer CH]],"")</f>
        <v/>
      </c>
      <c r="U106" s="129"/>
      <c r="V106" s="73"/>
      <c r="W106" s="68"/>
      <c r="X106" s="23">
        <v>45398</v>
      </c>
      <c r="Y106" s="7" t="s">
        <v>58</v>
      </c>
      <c r="Z106" s="120" t="str">
        <f>IF(Tableau3384[[#This Row],[Méthode du paiement]]="Mastercard","OUI","")</f>
        <v/>
      </c>
      <c r="AA106" s="6" t="s">
        <v>604</v>
      </c>
      <c r="AB106" s="6" t="s">
        <v>124</v>
      </c>
    </row>
    <row r="107" spans="1:35" hidden="1" x14ac:dyDescent="0.25">
      <c r="A107" s="9" t="s">
        <v>182</v>
      </c>
      <c r="B107" s="21">
        <v>45336</v>
      </c>
      <c r="C107" s="21">
        <v>45337</v>
      </c>
      <c r="D107" s="22" t="s">
        <v>183</v>
      </c>
      <c r="E107" s="11">
        <v>1379.7</v>
      </c>
      <c r="F107" s="88">
        <v>8.1</v>
      </c>
      <c r="G107" s="80"/>
      <c r="H107" s="136">
        <f>Tableau3384[[#This Row],[Montant
CHF]]+Tableau3384[[#This Row],[Abzug/Spesen
CHF]]</f>
        <v>1379.7</v>
      </c>
      <c r="I107" s="39"/>
      <c r="J107" s="40"/>
      <c r="K107" s="189"/>
      <c r="L107" s="298"/>
      <c r="M107" s="81"/>
      <c r="N107" s="21">
        <v>45366</v>
      </c>
      <c r="O107" s="282" t="str">
        <f>IF(Tableau3384[[#This Row],[Date du paiement]]&gt;0,"",Tableau3384[[#This Row],[Montant
CHF]])</f>
        <v/>
      </c>
      <c r="P107" s="276" t="str">
        <f>IF(Tableau3384[[#This Row],[Date du paiement]]="",$B$4-Tableau3384[[#This Row],[Écheance]],"")</f>
        <v/>
      </c>
      <c r="Q107" s="168" t="str">
        <f>IF(Tableau3384[[#This Row],[Date du paiement]]="",IF(Tableau3384[[#This Row],[jours jusqu''à l''écheance]]&gt;0,Tableau3384[[#This Row],[Montant
CHF]],""),"")</f>
        <v/>
      </c>
      <c r="R107" s="298" t="str">
        <f>IF(Tableau3384[[#This Row],[Date du paiement]]="",IF(Tableau3384[[#This Row],[jours jusqu''à l''écheance]]-($B$4-$B$11-1)&gt;0,Tableau3384[[#This Row],[Montant
CHF]],""),"")</f>
        <v/>
      </c>
      <c r="S107" s="142"/>
      <c r="T107" s="95" t="str">
        <f>IF(Tableau3384[[#This Row],[Paiements prevus]]="oui",Tableau3384[[#This Row],[Montant prevu à payer CH]],"")</f>
        <v/>
      </c>
      <c r="U107" s="129"/>
      <c r="V107" s="73"/>
      <c r="W107" s="68"/>
      <c r="X107" s="23">
        <v>45372</v>
      </c>
      <c r="Y107" s="7" t="s">
        <v>58</v>
      </c>
      <c r="Z107" s="120" t="str">
        <f>IF(Tableau3384[[#This Row],[Méthode du paiement]]="Mastercard","OUI","")</f>
        <v/>
      </c>
      <c r="AA107" s="6" t="s">
        <v>14</v>
      </c>
      <c r="AB107" s="6" t="s">
        <v>184</v>
      </c>
    </row>
    <row r="108" spans="1:35" hidden="1" x14ac:dyDescent="0.25">
      <c r="A108" s="9" t="s">
        <v>212</v>
      </c>
      <c r="B108" s="21">
        <v>45337</v>
      </c>
      <c r="C108" s="21">
        <v>45337</v>
      </c>
      <c r="D108" s="22" t="s">
        <v>209</v>
      </c>
      <c r="E108" s="11">
        <v>3346.8</v>
      </c>
      <c r="F108" s="88">
        <v>8.1</v>
      </c>
      <c r="G108" s="80"/>
      <c r="H108" s="136">
        <f>Tableau3384[[#This Row],[Montant
CHF]]+Tableau3384[[#This Row],[Abzug/Spesen
CHF]]</f>
        <v>3346.8</v>
      </c>
      <c r="I108" s="39"/>
      <c r="J108" s="40"/>
      <c r="K108" s="189"/>
      <c r="L108" s="298"/>
      <c r="M108" s="81"/>
      <c r="N108" s="21">
        <v>45337</v>
      </c>
      <c r="O108" s="282" t="str">
        <f>IF(Tableau3384[[#This Row],[Date du paiement]]&gt;0,"",Tableau3384[[#This Row],[Montant
CHF]])</f>
        <v/>
      </c>
      <c r="P108" s="276" t="str">
        <f>IF(Tableau3384[[#This Row],[Date du paiement]]="",$B$4-Tableau3384[[#This Row],[Écheance]],"")</f>
        <v/>
      </c>
      <c r="Q108" s="168" t="str">
        <f>IF(Tableau3384[[#This Row],[Date du paiement]]="",IF(Tableau3384[[#This Row],[jours jusqu''à l''écheance]]&gt;0,Tableau3384[[#This Row],[Montant
CHF]],""),"")</f>
        <v/>
      </c>
      <c r="R108" s="298" t="str">
        <f>IF(Tableau3384[[#This Row],[Date du paiement]]="",IF(Tableau3384[[#This Row],[jours jusqu''à l''écheance]]-($B$4-$B$11-1)&gt;0,Tableau3384[[#This Row],[Montant
CHF]],""),"")</f>
        <v/>
      </c>
      <c r="S108" s="142"/>
      <c r="T108" s="95" t="str">
        <f>IF(Tableau3384[[#This Row],[Paiements prevus]]="oui",Tableau3384[[#This Row],[Montant prevu à payer CH]],"")</f>
        <v/>
      </c>
      <c r="U108" s="129"/>
      <c r="V108" s="73"/>
      <c r="W108" s="68"/>
      <c r="X108" s="23">
        <v>45338</v>
      </c>
      <c r="Y108" s="7" t="s">
        <v>345</v>
      </c>
      <c r="Z108" s="120" t="str">
        <f>IF(Tableau3384[[#This Row],[Méthode du paiement]]="Mastercard","OUI","")</f>
        <v/>
      </c>
      <c r="AA108" s="6" t="s">
        <v>14</v>
      </c>
      <c r="AB108" s="6" t="s">
        <v>214</v>
      </c>
    </row>
    <row r="109" spans="1:35" hidden="1" x14ac:dyDescent="0.25">
      <c r="A109" s="9" t="s">
        <v>213</v>
      </c>
      <c r="B109" s="21">
        <v>45341</v>
      </c>
      <c r="C109" s="21">
        <v>45341</v>
      </c>
      <c r="D109" s="22" t="s">
        <v>209</v>
      </c>
      <c r="E109" s="11">
        <v>1115.5999999999999</v>
      </c>
      <c r="F109" s="88">
        <v>8.1</v>
      </c>
      <c r="G109" s="80"/>
      <c r="H109" s="136">
        <f>Tableau3384[[#This Row],[Montant
CHF]]+Tableau3384[[#This Row],[Abzug/Spesen
CHF]]</f>
        <v>1115.5999999999999</v>
      </c>
      <c r="I109" s="39"/>
      <c r="J109" s="40"/>
      <c r="K109" s="189"/>
      <c r="L109" s="298"/>
      <c r="M109" s="81"/>
      <c r="N109" s="21">
        <v>45341</v>
      </c>
      <c r="O109" s="282" t="str">
        <f>IF(Tableau3384[[#This Row],[Date du paiement]]&gt;0,"",Tableau3384[[#This Row],[Montant
CHF]])</f>
        <v/>
      </c>
      <c r="P109" s="276" t="str">
        <f>IF(Tableau3384[[#This Row],[Date du paiement]]="",$B$4-Tableau3384[[#This Row],[Écheance]],"")</f>
        <v/>
      </c>
      <c r="Q109" s="168" t="str">
        <f>IF(Tableau3384[[#This Row],[Date du paiement]]="",IF(Tableau3384[[#This Row],[jours jusqu''à l''écheance]]&gt;0,Tableau3384[[#This Row],[Montant
CHF]],""),"")</f>
        <v/>
      </c>
      <c r="R109" s="298" t="str">
        <f>IF(Tableau3384[[#This Row],[Date du paiement]]="",IF(Tableau3384[[#This Row],[jours jusqu''à l''écheance]]-($B$4-$B$11-1)&gt;0,Tableau3384[[#This Row],[Montant
CHF]],""),"")</f>
        <v/>
      </c>
      <c r="S109" s="142"/>
      <c r="T109" s="95" t="str">
        <f>IF(Tableau3384[[#This Row],[Paiements prevus]]="oui",Tableau3384[[#This Row],[Montant prevu à payer CH]],"")</f>
        <v/>
      </c>
      <c r="U109" s="129"/>
      <c r="V109" s="73"/>
      <c r="W109" s="68"/>
      <c r="X109" s="23">
        <v>45342</v>
      </c>
      <c r="Y109" s="7" t="s">
        <v>345</v>
      </c>
      <c r="Z109" s="120" t="str">
        <f>IF(Tableau3384[[#This Row],[Méthode du paiement]]="Mastercard","OUI","")</f>
        <v/>
      </c>
      <c r="AA109" s="6" t="s">
        <v>14</v>
      </c>
      <c r="AB109" s="6" t="s">
        <v>214</v>
      </c>
    </row>
    <row r="110" spans="1:35" hidden="1" x14ac:dyDescent="0.25">
      <c r="A110" s="9" t="s">
        <v>265</v>
      </c>
      <c r="B110" s="21">
        <v>45341</v>
      </c>
      <c r="C110" s="21">
        <v>45341</v>
      </c>
      <c r="D110" s="22" t="s">
        <v>25</v>
      </c>
      <c r="E110" s="11">
        <v>40</v>
      </c>
      <c r="F110" s="88">
        <v>0</v>
      </c>
      <c r="G110" s="80"/>
      <c r="H110" s="136">
        <f>Tableau3384[[#This Row],[Montant
CHF]]+Tableau3384[[#This Row],[Abzug/Spesen
CHF]]</f>
        <v>40</v>
      </c>
      <c r="I110" s="39"/>
      <c r="J110" s="40"/>
      <c r="K110" s="189"/>
      <c r="L110" s="298"/>
      <c r="M110" s="81"/>
      <c r="N110" s="21">
        <v>45391</v>
      </c>
      <c r="O110" s="282" t="str">
        <f>IF(Tableau3384[[#This Row],[Date du paiement]]&gt;0,"",Tableau3384[[#This Row],[Montant
CHF]])</f>
        <v/>
      </c>
      <c r="P110" s="276" t="str">
        <f>IF(Tableau3384[[#This Row],[Date du paiement]]="",$B$4-Tableau3384[[#This Row],[Écheance]],"")</f>
        <v/>
      </c>
      <c r="Q110" s="168" t="str">
        <f>IF(Tableau3384[[#This Row],[Date du paiement]]="",IF(Tableau3384[[#This Row],[jours jusqu''à l''écheance]]&gt;0,Tableau3384[[#This Row],[Montant
CHF]],""),"")</f>
        <v/>
      </c>
      <c r="R110" s="298" t="str">
        <f>IF(Tableau3384[[#This Row],[Date du paiement]]="",IF(Tableau3384[[#This Row],[jours jusqu''à l''écheance]]-($B$4-$B$11-1)&gt;0,Tableau3384[[#This Row],[Montant
CHF]],""),"")</f>
        <v/>
      </c>
      <c r="S110" s="142"/>
      <c r="T110" s="95" t="str">
        <f>IF(Tableau3384[[#This Row],[Paiements prevus]]="oui",Tableau3384[[#This Row],[Montant prevu à payer CH]],"")</f>
        <v/>
      </c>
      <c r="U110" s="129"/>
      <c r="V110" s="73"/>
      <c r="W110" s="68"/>
      <c r="X110" s="23">
        <v>45372</v>
      </c>
      <c r="Y110" s="7" t="s">
        <v>58</v>
      </c>
      <c r="Z110" s="120" t="str">
        <f>IF(Tableau3384[[#This Row],[Méthode du paiement]]="Mastercard","OUI","")</f>
        <v/>
      </c>
      <c r="AA110" s="6" t="s">
        <v>26</v>
      </c>
      <c r="AB110" s="6" t="s">
        <v>266</v>
      </c>
    </row>
    <row r="111" spans="1:35" hidden="1" x14ac:dyDescent="0.25">
      <c r="A111" s="9" t="s">
        <v>310</v>
      </c>
      <c r="B111" s="21">
        <v>45341</v>
      </c>
      <c r="C111" s="21">
        <v>45341</v>
      </c>
      <c r="D111" s="22" t="s">
        <v>216</v>
      </c>
      <c r="E111" s="11">
        <v>357.2</v>
      </c>
      <c r="F111" s="88">
        <v>100</v>
      </c>
      <c r="G111" s="80"/>
      <c r="H111" s="136">
        <f>Tableau3384[[#This Row],[Montant
CHF]]+Tableau3384[[#This Row],[Abzug/Spesen
CHF]]</f>
        <v>357.2</v>
      </c>
      <c r="I111" s="39"/>
      <c r="J111" s="40"/>
      <c r="K111" s="189"/>
      <c r="L111" s="298"/>
      <c r="M111" s="81"/>
      <c r="N111" s="21">
        <f>Tableau3384[[#This Row],[Date de 
la facture]]+60</f>
        <v>45401</v>
      </c>
      <c r="O111" s="282" t="str">
        <f>IF(Tableau3384[[#This Row],[Date du paiement]]&gt;0,"",Tableau3384[[#This Row],[Montant
CHF]])</f>
        <v/>
      </c>
      <c r="P111" s="276" t="str">
        <f>IF(Tableau3384[[#This Row],[Date du paiement]]="",$B$4-Tableau3384[[#This Row],[Écheance]],"")</f>
        <v/>
      </c>
      <c r="Q111" s="168" t="str">
        <f>IF(Tableau3384[[#This Row],[Date du paiement]]="",IF(Tableau3384[[#This Row],[jours jusqu''à l''écheance]]&gt;0,Tableau3384[[#This Row],[Montant
CHF]],""),"")</f>
        <v/>
      </c>
      <c r="R111" s="298" t="str">
        <f>IF(Tableau3384[[#This Row],[Date du paiement]]="",IF(Tableau3384[[#This Row],[jours jusqu''à l''écheance]]-($B$4-$B$11-1)&gt;0,Tableau3384[[#This Row],[Montant
CHF]],""),"")</f>
        <v/>
      </c>
      <c r="S111" s="142"/>
      <c r="T111" s="95" t="str">
        <f>IF(Tableau3384[[#This Row],[Paiements prevus]]="oui",Tableau3384[[#This Row],[Montant prevu à payer CH]],"")</f>
        <v/>
      </c>
      <c r="U111" s="129"/>
      <c r="V111" s="73"/>
      <c r="W111" s="68"/>
      <c r="X111" s="23">
        <v>45404</v>
      </c>
      <c r="Y111" s="7" t="s">
        <v>58</v>
      </c>
      <c r="Z111" s="120" t="str">
        <f>IF(Tableau3384[[#This Row],[Méthode du paiement]]="Mastercard","OUI","")</f>
        <v/>
      </c>
      <c r="AA111" s="6" t="s">
        <v>604</v>
      </c>
      <c r="AB111" s="6" t="s">
        <v>319</v>
      </c>
    </row>
    <row r="112" spans="1:35" hidden="1" x14ac:dyDescent="0.25">
      <c r="A112" s="9" t="s">
        <v>137</v>
      </c>
      <c r="B112" s="21">
        <v>45341</v>
      </c>
      <c r="C112" s="21">
        <v>45341</v>
      </c>
      <c r="D112" s="22" t="s">
        <v>138</v>
      </c>
      <c r="E112" s="11">
        <f>Tableau3384[[#This Row],[Montant
EUR]]*Tableau3384[[#This Row],[Taux 
de change]]</f>
        <v>180.64985599999997</v>
      </c>
      <c r="F112" s="88">
        <v>0</v>
      </c>
      <c r="G112" s="80"/>
      <c r="H112" s="136">
        <f>Tableau3384[[#This Row],[Montant
CHF]]+Tableau3384[[#This Row],[Abzug/Spesen
CHF]]</f>
        <v>180.64985599999997</v>
      </c>
      <c r="I112" s="39">
        <v>0.98607999999999996</v>
      </c>
      <c r="J112" s="40">
        <v>183.2</v>
      </c>
      <c r="K112" s="189"/>
      <c r="L112" s="298"/>
      <c r="M112" s="81"/>
      <c r="N112" s="21">
        <v>45401</v>
      </c>
      <c r="O112" s="282" t="str">
        <f>IF(Tableau3384[[#This Row],[Date du paiement]]&gt;0,"",Tableau3384[[#This Row],[Montant
CHF]])</f>
        <v/>
      </c>
      <c r="P112" s="276" t="str">
        <f>IF(Tableau3384[[#This Row],[Date du paiement]]="",$B$4-Tableau3384[[#This Row],[Écheance]],"")</f>
        <v/>
      </c>
      <c r="Q112" s="168" t="str">
        <f>IF(Tableau3384[[#This Row],[Date du paiement]]="",IF(Tableau3384[[#This Row],[jours jusqu''à l''écheance]]&gt;0,Tableau3384[[#This Row],[Montant
CHF]],""),"")</f>
        <v/>
      </c>
      <c r="R112" s="298" t="str">
        <f>IF(Tableau3384[[#This Row],[Date du paiement]]="",IF(Tableau3384[[#This Row],[jours jusqu''à l''écheance]]-($B$4-$B$11-1)&gt;0,Tableau3384[[#This Row],[Montant
CHF]],""),"")</f>
        <v/>
      </c>
      <c r="S112" s="142"/>
      <c r="T112" s="95" t="str">
        <f>IF(Tableau3384[[#This Row],[Paiements prevus]]="oui",Tableau3384[[#This Row],[Montant prevu à payer CH]],"")</f>
        <v/>
      </c>
      <c r="U112" s="129"/>
      <c r="V112" s="73"/>
      <c r="W112" s="68"/>
      <c r="X112" s="23">
        <v>45414</v>
      </c>
      <c r="Y112" s="7" t="s">
        <v>58</v>
      </c>
      <c r="Z112" s="120" t="str">
        <f>IF(Tableau3384[[#This Row],[Méthode du paiement]]="Mastercard","OUI","")</f>
        <v/>
      </c>
      <c r="AA112" s="6" t="s">
        <v>14</v>
      </c>
      <c r="AB112" s="6" t="s">
        <v>139</v>
      </c>
    </row>
    <row r="113" spans="1:28" hidden="1" x14ac:dyDescent="0.25">
      <c r="A113" s="9" t="s">
        <v>160</v>
      </c>
      <c r="B113" s="21">
        <v>45343</v>
      </c>
      <c r="C113" s="21">
        <v>45343</v>
      </c>
      <c r="D113" s="22" t="s">
        <v>196</v>
      </c>
      <c r="E113" s="11">
        <v>661</v>
      </c>
      <c r="F113" s="88">
        <v>8.1</v>
      </c>
      <c r="G113" s="80"/>
      <c r="H113" s="136">
        <f>Tableau3384[[#This Row],[Montant
CHF]]+Tableau3384[[#This Row],[Abzug/Spesen
CHF]]</f>
        <v>661</v>
      </c>
      <c r="I113" s="39"/>
      <c r="J113" s="40"/>
      <c r="K113" s="189"/>
      <c r="L113" s="298"/>
      <c r="M113" s="81"/>
      <c r="N113" s="21">
        <v>45353</v>
      </c>
      <c r="O113" s="282" t="str">
        <f>IF(Tableau3384[[#This Row],[Date du paiement]]&gt;0,"",Tableau3384[[#This Row],[Montant
CHF]])</f>
        <v/>
      </c>
      <c r="P113" s="276" t="str">
        <f>IF(Tableau3384[[#This Row],[Date du paiement]]="",$B$4-Tableau3384[[#This Row],[Écheance]],"")</f>
        <v/>
      </c>
      <c r="Q113" s="168" t="str">
        <f>IF(Tableau3384[[#This Row],[Date du paiement]]="",IF(Tableau3384[[#This Row],[jours jusqu''à l''écheance]]&gt;0,Tableau3384[[#This Row],[Montant
CHF]],""),"")</f>
        <v/>
      </c>
      <c r="R113" s="298" t="str">
        <f>IF(Tableau3384[[#This Row],[Date du paiement]]="",IF(Tableau3384[[#This Row],[jours jusqu''à l''écheance]]-($B$4-$B$11-1)&gt;0,Tableau3384[[#This Row],[Montant
CHF]],""),"")</f>
        <v/>
      </c>
      <c r="S113" s="142"/>
      <c r="T113" s="95" t="str">
        <f>IF(Tableau3384[[#This Row],[Paiements prevus]]="oui",Tableau3384[[#This Row],[Montant prevu à payer CH]],"")</f>
        <v/>
      </c>
      <c r="U113" s="129"/>
      <c r="V113" s="73"/>
      <c r="W113" s="68"/>
      <c r="X113" s="23">
        <v>45372</v>
      </c>
      <c r="Y113" s="7" t="s">
        <v>58</v>
      </c>
      <c r="Z113" s="120" t="str">
        <f>IF(Tableau3384[[#This Row],[Méthode du paiement]]="Mastercard","OUI","")</f>
        <v/>
      </c>
      <c r="AA113" s="6" t="s">
        <v>4</v>
      </c>
      <c r="AB113" s="6" t="s">
        <v>161</v>
      </c>
    </row>
    <row r="114" spans="1:28" hidden="1" x14ac:dyDescent="0.25">
      <c r="A114" s="9" t="s">
        <v>134</v>
      </c>
      <c r="B114" s="21">
        <v>45343</v>
      </c>
      <c r="C114" s="21">
        <v>45344</v>
      </c>
      <c r="D114" s="22" t="s">
        <v>60</v>
      </c>
      <c r="E114" s="11">
        <f>Tableau3384[[#This Row],[Montant
EUR]]*Tableau3384[[#This Row],[Taux 
de change]]</f>
        <v>4944.3598907999994</v>
      </c>
      <c r="F114" s="88">
        <v>0</v>
      </c>
      <c r="G114" s="80"/>
      <c r="H114" s="136">
        <f>Tableau3384[[#This Row],[Montant
CHF]]+Tableau3384[[#This Row],[Abzug/Spesen
CHF]]</f>
        <v>4944.3598907999994</v>
      </c>
      <c r="I114" s="39">
        <v>0.97753259999999997</v>
      </c>
      <c r="J114" s="40">
        <v>5058</v>
      </c>
      <c r="K114" s="189"/>
      <c r="L114" s="298"/>
      <c r="M114" s="81"/>
      <c r="N114" s="21">
        <v>45374</v>
      </c>
      <c r="O114" s="282" t="str">
        <f>IF(Tableau3384[[#This Row],[Date du paiement]]&gt;0,"",Tableau3384[[#This Row],[Montant
CHF]])</f>
        <v/>
      </c>
      <c r="P114" s="276" t="str">
        <f>IF(Tableau3384[[#This Row],[Date du paiement]]="",$B$4-Tableau3384[[#This Row],[Écheance]],"")</f>
        <v/>
      </c>
      <c r="Q114" s="168" t="str">
        <f>IF(Tableau3384[[#This Row],[Date du paiement]]="",IF(Tableau3384[[#This Row],[jours jusqu''à l''écheance]]&gt;0,Tableau3384[[#This Row],[Montant
CHF]],""),"")</f>
        <v/>
      </c>
      <c r="R114" s="298" t="str">
        <f>IF(Tableau3384[[#This Row],[Date du paiement]]="",IF(Tableau3384[[#This Row],[jours jusqu''à l''écheance]]-($B$4-$B$11-1)&gt;0,Tableau3384[[#This Row],[Montant
CHF]],""),"")</f>
        <v/>
      </c>
      <c r="S114" s="142"/>
      <c r="T114" s="95" t="str">
        <f>IF(Tableau3384[[#This Row],[Paiements prevus]]="oui",Tableau3384[[#This Row],[Montant prevu à payer CH]],"")</f>
        <v/>
      </c>
      <c r="U114" s="129"/>
      <c r="V114" s="73"/>
      <c r="W114" s="68"/>
      <c r="X114" s="23">
        <v>45384</v>
      </c>
      <c r="Y114" s="7" t="s">
        <v>58</v>
      </c>
      <c r="Z114" s="120" t="str">
        <f>IF(Tableau3384[[#This Row],[Méthode du paiement]]="Mastercard","OUI","")</f>
        <v/>
      </c>
      <c r="AA114" s="6" t="s">
        <v>14</v>
      </c>
      <c r="AB114" s="6" t="s">
        <v>135</v>
      </c>
    </row>
    <row r="115" spans="1:28" hidden="1" x14ac:dyDescent="0.25">
      <c r="A115" s="9" t="s">
        <v>132</v>
      </c>
      <c r="B115" s="21">
        <v>45344</v>
      </c>
      <c r="C115" s="21">
        <v>45344</v>
      </c>
      <c r="D115" s="22" t="s">
        <v>22</v>
      </c>
      <c r="E115" s="11">
        <v>1122.0999999999999</v>
      </c>
      <c r="F115" s="88">
        <v>8.1</v>
      </c>
      <c r="G115" s="80"/>
      <c r="H115" s="136">
        <f>Tableau3384[[#This Row],[Montant
CHF]]+Tableau3384[[#This Row],[Abzug/Spesen
CHF]]</f>
        <v>1122.0999999999999</v>
      </c>
      <c r="I115" s="39"/>
      <c r="J115" s="40"/>
      <c r="K115" s="189"/>
      <c r="L115" s="298"/>
      <c r="M115" s="81"/>
      <c r="N115" s="21">
        <v>45374</v>
      </c>
      <c r="O115" s="282" t="str">
        <f>IF(Tableau3384[[#This Row],[Date du paiement]]&gt;0,"",Tableau3384[[#This Row],[Montant
CHF]])</f>
        <v/>
      </c>
      <c r="P115" s="276" t="str">
        <f>IF(Tableau3384[[#This Row],[Date du paiement]]="",$B$4-Tableau3384[[#This Row],[Écheance]],"")</f>
        <v/>
      </c>
      <c r="Q115" s="168" t="str">
        <f>IF(Tableau3384[[#This Row],[Date du paiement]]="",IF(Tableau3384[[#This Row],[jours jusqu''à l''écheance]]&gt;0,Tableau3384[[#This Row],[Montant
CHF]],""),"")</f>
        <v/>
      </c>
      <c r="R115" s="298" t="str">
        <f>IF(Tableau3384[[#This Row],[Date du paiement]]="",IF(Tableau3384[[#This Row],[jours jusqu''à l''écheance]]-($B$4-$B$11-1)&gt;0,Tableau3384[[#This Row],[Montant
CHF]],""),"")</f>
        <v/>
      </c>
      <c r="S115" s="142"/>
      <c r="T115" s="95" t="str">
        <f>IF(Tableau3384[[#This Row],[Paiements prevus]]="oui",Tableau3384[[#This Row],[Montant prevu à payer CH]],"")</f>
        <v/>
      </c>
      <c r="U115" s="129"/>
      <c r="V115" s="73"/>
      <c r="W115" s="68"/>
      <c r="X115" s="23">
        <v>45354</v>
      </c>
      <c r="Y115" s="7" t="s">
        <v>58</v>
      </c>
      <c r="Z115" s="120" t="str">
        <f>IF(Tableau3384[[#This Row],[Méthode du paiement]]="Mastercard","OUI","")</f>
        <v/>
      </c>
      <c r="AA115" s="6" t="s">
        <v>14</v>
      </c>
      <c r="AB115" s="6" t="s">
        <v>133</v>
      </c>
    </row>
    <row r="116" spans="1:28" hidden="1" x14ac:dyDescent="0.25">
      <c r="A116" s="9" t="s">
        <v>258</v>
      </c>
      <c r="B116" s="21">
        <v>45344</v>
      </c>
      <c r="C116" s="21">
        <v>45344</v>
      </c>
      <c r="D116" s="22" t="s">
        <v>29</v>
      </c>
      <c r="E116" s="11">
        <v>282.14999999999998</v>
      </c>
      <c r="F116" s="88">
        <v>8.1</v>
      </c>
      <c r="G116" s="80"/>
      <c r="H116" s="136">
        <f>Tableau3384[[#This Row],[Montant
CHF]]+Tableau3384[[#This Row],[Abzug/Spesen
CHF]]</f>
        <v>282.14999999999998</v>
      </c>
      <c r="I116" s="39"/>
      <c r="J116" s="40"/>
      <c r="K116" s="189"/>
      <c r="L116" s="298"/>
      <c r="M116" s="81"/>
      <c r="N116" s="21">
        <v>45373</v>
      </c>
      <c r="O116" s="282" t="str">
        <f>IF(Tableau3384[[#This Row],[Date du paiement]]&gt;0,"",Tableau3384[[#This Row],[Montant
CHF]])</f>
        <v/>
      </c>
      <c r="P116" s="276" t="str">
        <f>IF(Tableau3384[[#This Row],[Date du paiement]]="",$B$4-Tableau3384[[#This Row],[Écheance]],"")</f>
        <v/>
      </c>
      <c r="Q116" s="168" t="str">
        <f>IF(Tableau3384[[#This Row],[Date du paiement]]="",IF(Tableau3384[[#This Row],[jours jusqu''à l''écheance]]&gt;0,Tableau3384[[#This Row],[Montant
CHF]],""),"")</f>
        <v/>
      </c>
      <c r="R116" s="298" t="str">
        <f>IF(Tableau3384[[#This Row],[Date du paiement]]="",IF(Tableau3384[[#This Row],[jours jusqu''à l''écheance]]-($B$4-$B$11-1)&gt;0,Tableau3384[[#This Row],[Montant
CHF]],""),"")</f>
        <v/>
      </c>
      <c r="S116" s="142"/>
      <c r="T116" s="95" t="str">
        <f>IF(Tableau3384[[#This Row],[Paiements prevus]]="oui",Tableau3384[[#This Row],[Montant prevu à payer CH]],"")</f>
        <v/>
      </c>
      <c r="U116" s="129"/>
      <c r="V116" s="73"/>
      <c r="W116" s="68"/>
      <c r="X116" s="23">
        <v>45376</v>
      </c>
      <c r="Y116" s="7" t="s">
        <v>58</v>
      </c>
      <c r="Z116" s="120" t="str">
        <f>IF(Tableau3384[[#This Row],[Méthode du paiement]]="Mastercard","OUI","")</f>
        <v/>
      </c>
      <c r="AA116" s="6" t="s">
        <v>30</v>
      </c>
      <c r="AB116" s="6" t="s">
        <v>259</v>
      </c>
    </row>
    <row r="117" spans="1:28" hidden="1" x14ac:dyDescent="0.25">
      <c r="A117" s="9" t="s">
        <v>252</v>
      </c>
      <c r="B117" s="21">
        <v>45345</v>
      </c>
      <c r="C117" s="21">
        <v>45336</v>
      </c>
      <c r="D117" s="22" t="s">
        <v>253</v>
      </c>
      <c r="E117" s="11">
        <f>Tableau3384[[#This Row],[Montant
EUR]]*Tableau3384[[#This Row],[Taux 
de change]]</f>
        <v>2483.7047825468999</v>
      </c>
      <c r="F117" s="88">
        <v>0</v>
      </c>
      <c r="G117" s="80">
        <f>-Tableau3384[[#This Row],[Montant
CHF]]*0.01</f>
        <v>-24.837047825469</v>
      </c>
      <c r="H117" s="136">
        <f>Tableau3384[[#This Row],[Montant
CHF]]+Tableau3384[[#This Row],[Abzug/Spesen
CHF]]</f>
        <v>2458.8677347214307</v>
      </c>
      <c r="I117" s="39">
        <v>0.95157456900000004</v>
      </c>
      <c r="J117" s="40">
        <v>2610.1</v>
      </c>
      <c r="K117" s="189"/>
      <c r="L117" s="298"/>
      <c r="M117" s="81"/>
      <c r="N117" s="21">
        <v>45335</v>
      </c>
      <c r="O117" s="282" t="str">
        <f>IF(Tableau3384[[#This Row],[Date du paiement]]&gt;0,"",Tableau3384[[#This Row],[Montant
CHF]])</f>
        <v/>
      </c>
      <c r="P117" s="276" t="str">
        <f>IF(Tableau3384[[#This Row],[Date du paiement]]="",$B$4-Tableau3384[[#This Row],[Écheance]],"")</f>
        <v/>
      </c>
      <c r="Q117" s="168" t="str">
        <f>IF(Tableau3384[[#This Row],[Date du paiement]]="",IF(Tableau3384[[#This Row],[jours jusqu''à l''écheance]]&gt;0,Tableau3384[[#This Row],[Montant
CHF]],""),"")</f>
        <v/>
      </c>
      <c r="R117" s="298" t="str">
        <f>IF(Tableau3384[[#This Row],[Date du paiement]]="",IF(Tableau3384[[#This Row],[jours jusqu''à l''écheance]]-($B$4-$B$11-1)&gt;0,Tableau3384[[#This Row],[Montant
CHF]],""),"")</f>
        <v/>
      </c>
      <c r="S117" s="142"/>
      <c r="T117" s="95" t="str">
        <f>IF(Tableau3384[[#This Row],[Paiements prevus]]="oui",Tableau3384[[#This Row],[Montant prevu à payer CH]],"")</f>
        <v/>
      </c>
      <c r="U117" s="129"/>
      <c r="V117" s="73"/>
      <c r="W117" s="68"/>
      <c r="X117" s="23">
        <v>45335</v>
      </c>
      <c r="Y117" s="7" t="s">
        <v>58</v>
      </c>
      <c r="Z117" s="120" t="str">
        <f>IF(Tableau3384[[#This Row],[Méthode du paiement]]="Mastercard","OUI","")</f>
        <v/>
      </c>
      <c r="AA117" s="6" t="s">
        <v>14</v>
      </c>
      <c r="AB117" s="6" t="s">
        <v>254</v>
      </c>
    </row>
    <row r="118" spans="1:28" hidden="1" x14ac:dyDescent="0.25">
      <c r="A118" s="9" t="s">
        <v>165</v>
      </c>
      <c r="B118" s="21">
        <v>45345</v>
      </c>
      <c r="C118" s="21">
        <v>45345</v>
      </c>
      <c r="D118" s="22" t="s">
        <v>25</v>
      </c>
      <c r="E118" s="11">
        <v>40</v>
      </c>
      <c r="F118" s="88">
        <v>0</v>
      </c>
      <c r="G118" s="80"/>
      <c r="H118" s="136">
        <f>Tableau3384[[#This Row],[Montant
CHF]]+Tableau3384[[#This Row],[Abzug/Spesen
CHF]]</f>
        <v>40</v>
      </c>
      <c r="I118" s="39"/>
      <c r="J118" s="40"/>
      <c r="K118" s="189"/>
      <c r="L118" s="298"/>
      <c r="M118" s="81"/>
      <c r="N118" s="21">
        <v>45364</v>
      </c>
      <c r="O118" s="282" t="str">
        <f>IF(Tableau3384[[#This Row],[Date du paiement]]&gt;0,"",Tableau3384[[#This Row],[Montant
CHF]])</f>
        <v/>
      </c>
      <c r="P118" s="276" t="str">
        <f>IF(Tableau3384[[#This Row],[Date du paiement]]="",$B$4-Tableau3384[[#This Row],[Écheance]],"")</f>
        <v/>
      </c>
      <c r="Q118" s="168" t="str">
        <f>IF(Tableau3384[[#This Row],[Date du paiement]]="",IF(Tableau3384[[#This Row],[jours jusqu''à l''écheance]]&gt;0,Tableau3384[[#This Row],[Montant
CHF]],""),"")</f>
        <v/>
      </c>
      <c r="R118" s="298" t="str">
        <f>IF(Tableau3384[[#This Row],[Date du paiement]]="",IF(Tableau3384[[#This Row],[jours jusqu''à l''écheance]]-($B$4-$B$11-1)&gt;0,Tableau3384[[#This Row],[Montant
CHF]],""),"")</f>
        <v/>
      </c>
      <c r="S118" s="142"/>
      <c r="T118" s="95" t="str">
        <f>IF(Tableau3384[[#This Row],[Paiements prevus]]="oui",Tableau3384[[#This Row],[Montant prevu à payer CH]],"")</f>
        <v/>
      </c>
      <c r="U118" s="129"/>
      <c r="V118" s="73"/>
      <c r="W118" s="68"/>
      <c r="X118" s="23">
        <v>45376</v>
      </c>
      <c r="Y118" s="7" t="s">
        <v>58</v>
      </c>
      <c r="Z118" s="120" t="str">
        <f>IF(Tableau3384[[#This Row],[Méthode du paiement]]="Mastercard","OUI","")</f>
        <v/>
      </c>
      <c r="AA118" s="6" t="s">
        <v>26</v>
      </c>
      <c r="AB118" s="6" t="s">
        <v>166</v>
      </c>
    </row>
    <row r="119" spans="1:28" hidden="1" x14ac:dyDescent="0.25">
      <c r="A119" s="9" t="s">
        <v>154</v>
      </c>
      <c r="B119" s="21">
        <v>45345</v>
      </c>
      <c r="C119" s="21">
        <v>45351</v>
      </c>
      <c r="D119" s="22" t="s">
        <v>155</v>
      </c>
      <c r="E119" s="11">
        <v>91.1</v>
      </c>
      <c r="F119" s="88">
        <v>100</v>
      </c>
      <c r="G119" s="80"/>
      <c r="H119" s="136">
        <f>Tableau3384[[#This Row],[Montant
CHF]]+Tableau3384[[#This Row],[Abzug/Spesen
CHF]]</f>
        <v>91.1</v>
      </c>
      <c r="I119" s="39"/>
      <c r="J119" s="40"/>
      <c r="K119" s="189"/>
      <c r="L119" s="298"/>
      <c r="M119" s="81"/>
      <c r="N119" s="21">
        <v>45374</v>
      </c>
      <c r="O119" s="282" t="str">
        <f>IF(Tableau3384[[#This Row],[Date du paiement]]&gt;0,"",Tableau3384[[#This Row],[Montant
CHF]])</f>
        <v/>
      </c>
      <c r="P119" s="276" t="str">
        <f>IF(Tableau3384[[#This Row],[Date du paiement]]="",$B$4-Tableau3384[[#This Row],[Écheance]],"")</f>
        <v/>
      </c>
      <c r="Q119" s="168" t="str">
        <f>IF(Tableau3384[[#This Row],[Date du paiement]]="",IF(Tableau3384[[#This Row],[jours jusqu''à l''écheance]]&gt;0,Tableau3384[[#This Row],[Montant
CHF]],""),"")</f>
        <v/>
      </c>
      <c r="R119" s="298" t="str">
        <f>IF(Tableau3384[[#This Row],[Date du paiement]]="",IF(Tableau3384[[#This Row],[jours jusqu''à l''écheance]]-($B$4-$B$11-1)&gt;0,Tableau3384[[#This Row],[Montant
CHF]],""),"")</f>
        <v/>
      </c>
      <c r="S119" s="142"/>
      <c r="T119" s="95" t="str">
        <f>IF(Tableau3384[[#This Row],[Paiements prevus]]="oui",Tableau3384[[#This Row],[Montant prevu à payer CH]],"")</f>
        <v/>
      </c>
      <c r="U119" s="129"/>
      <c r="V119" s="73"/>
      <c r="W119" s="68"/>
      <c r="X119" s="23">
        <v>45376</v>
      </c>
      <c r="Y119" s="7" t="s">
        <v>58</v>
      </c>
      <c r="Z119" s="120" t="str">
        <f>IF(Tableau3384[[#This Row],[Méthode du paiement]]="Mastercard","OUI","")</f>
        <v/>
      </c>
      <c r="AA119" s="6" t="s">
        <v>604</v>
      </c>
      <c r="AB119" s="6" t="s">
        <v>156</v>
      </c>
    </row>
    <row r="120" spans="1:28" hidden="1" x14ac:dyDescent="0.25">
      <c r="A120" s="9" t="s">
        <v>168</v>
      </c>
      <c r="B120" s="21">
        <v>45347</v>
      </c>
      <c r="C120" s="21">
        <v>45345</v>
      </c>
      <c r="D120" s="22" t="s">
        <v>169</v>
      </c>
      <c r="E120" s="11">
        <v>190</v>
      </c>
      <c r="F120" s="88">
        <v>0</v>
      </c>
      <c r="G120" s="80"/>
      <c r="H120" s="136">
        <f>Tableau3384[[#This Row],[Montant
CHF]]+Tableau3384[[#This Row],[Abzug/Spesen
CHF]]</f>
        <v>190</v>
      </c>
      <c r="I120" s="39"/>
      <c r="J120" s="40"/>
      <c r="K120" s="189"/>
      <c r="L120" s="298"/>
      <c r="M120" s="81"/>
      <c r="N120" s="21">
        <v>45376</v>
      </c>
      <c r="O120" s="282" t="str">
        <f>IF(Tableau3384[[#This Row],[Date du paiement]]&gt;0,"",Tableau3384[[#This Row],[Montant
CHF]])</f>
        <v/>
      </c>
      <c r="P120" s="276" t="str">
        <f>IF(Tableau3384[[#This Row],[Date du paiement]]="",$B$4-Tableau3384[[#This Row],[Écheance]],"")</f>
        <v/>
      </c>
      <c r="Q120" s="168" t="str">
        <f>IF(Tableau3384[[#This Row],[Date du paiement]]="",IF(Tableau3384[[#This Row],[jours jusqu''à l''écheance]]&gt;0,Tableau3384[[#This Row],[Montant
CHF]],""),"")</f>
        <v/>
      </c>
      <c r="R120" s="298" t="str">
        <f>IF(Tableau3384[[#This Row],[Date du paiement]]="",IF(Tableau3384[[#This Row],[jours jusqu''à l''écheance]]-($B$4-$B$11-1)&gt;0,Tableau3384[[#This Row],[Montant
CHF]],""),"")</f>
        <v/>
      </c>
      <c r="S120" s="142"/>
      <c r="T120" s="95" t="str">
        <f>IF(Tableau3384[[#This Row],[Paiements prevus]]="oui",Tableau3384[[#This Row],[Montant prevu à payer CH]],"")</f>
        <v/>
      </c>
      <c r="U120" s="129"/>
      <c r="V120" s="73"/>
      <c r="W120" s="68"/>
      <c r="X120" s="23">
        <v>45376</v>
      </c>
      <c r="Y120" s="7" t="s">
        <v>58</v>
      </c>
      <c r="Z120" s="120" t="str">
        <f>IF(Tableau3384[[#This Row],[Méthode du paiement]]="Mastercard","OUI","")</f>
        <v/>
      </c>
      <c r="AA120" s="6" t="s">
        <v>43</v>
      </c>
      <c r="AB120" s="6" t="s">
        <v>99</v>
      </c>
    </row>
    <row r="121" spans="1:28" hidden="1" x14ac:dyDescent="0.25">
      <c r="A121" s="9" t="s">
        <v>311</v>
      </c>
      <c r="B121" s="21">
        <v>45348</v>
      </c>
      <c r="C121" s="21">
        <v>45348</v>
      </c>
      <c r="D121" s="22" t="s">
        <v>216</v>
      </c>
      <c r="E121" s="11">
        <v>1587.7</v>
      </c>
      <c r="F121" s="88">
        <v>100</v>
      </c>
      <c r="G121" s="80"/>
      <c r="H121" s="136">
        <f>Tableau3384[[#This Row],[Montant
CHF]]+Tableau3384[[#This Row],[Abzug/Spesen
CHF]]</f>
        <v>1587.7</v>
      </c>
      <c r="I121" s="39"/>
      <c r="J121" s="40"/>
      <c r="K121" s="189"/>
      <c r="L121" s="298"/>
      <c r="M121" s="81"/>
      <c r="N121" s="21">
        <f>Tableau3384[[#This Row],[Date de 
la facture]]+60</f>
        <v>45408</v>
      </c>
      <c r="O121" s="282" t="str">
        <f>IF(Tableau3384[[#This Row],[Date du paiement]]&gt;0,"",Tableau3384[[#This Row],[Montant
CHF]])</f>
        <v/>
      </c>
      <c r="P121" s="276" t="str">
        <f>IF(Tableau3384[[#This Row],[Date du paiement]]="",$B$4-Tableau3384[[#This Row],[Écheance]],"")</f>
        <v/>
      </c>
      <c r="Q121" s="168" t="str">
        <f>IF(Tableau3384[[#This Row],[Date du paiement]]="",IF(Tableau3384[[#This Row],[jours jusqu''à l''écheance]]&gt;0,Tableau3384[[#This Row],[Montant
CHF]],""),"")</f>
        <v/>
      </c>
      <c r="R121" s="298" t="str">
        <f>IF(Tableau3384[[#This Row],[Date du paiement]]="",IF(Tableau3384[[#This Row],[jours jusqu''à l''écheance]]-($B$4-$B$11-1)&gt;0,Tableau3384[[#This Row],[Montant
CHF]],""),"")</f>
        <v/>
      </c>
      <c r="S121" s="142"/>
      <c r="T121" s="95" t="str">
        <f>IF(Tableau3384[[#This Row],[Paiements prevus]]="oui",Tableau3384[[#This Row],[Montant prevu à payer CH]],"")</f>
        <v/>
      </c>
      <c r="U121" s="129"/>
      <c r="V121" s="73"/>
      <c r="W121" s="68"/>
      <c r="X121" s="23">
        <v>45408</v>
      </c>
      <c r="Y121" s="7" t="s">
        <v>58</v>
      </c>
      <c r="Z121" s="120" t="str">
        <f>IF(Tableau3384[[#This Row],[Méthode du paiement]]="Mastercard","OUI","")</f>
        <v/>
      </c>
      <c r="AA121" s="6" t="s">
        <v>604</v>
      </c>
      <c r="AB121" s="6" t="s">
        <v>266</v>
      </c>
    </row>
    <row r="122" spans="1:28" hidden="1" x14ac:dyDescent="0.25">
      <c r="A122" s="9" t="s">
        <v>191</v>
      </c>
      <c r="B122" s="21">
        <v>45349</v>
      </c>
      <c r="C122" s="21">
        <v>45349</v>
      </c>
      <c r="D122" s="22" t="s">
        <v>188</v>
      </c>
      <c r="E122" s="11">
        <f>389.3-99</f>
        <v>290.3</v>
      </c>
      <c r="F122" s="88">
        <v>8.1</v>
      </c>
      <c r="G122" s="80"/>
      <c r="H122" s="136">
        <f>Tableau3384[[#This Row],[Montant
CHF]]+Tableau3384[[#This Row],[Abzug/Spesen
CHF]]</f>
        <v>290.3</v>
      </c>
      <c r="I122" s="39"/>
      <c r="J122" s="40"/>
      <c r="K122" s="189"/>
      <c r="L122" s="298"/>
      <c r="M122" s="81"/>
      <c r="N122" s="21">
        <v>45349</v>
      </c>
      <c r="O122" s="282" t="str">
        <f>IF(Tableau3384[[#This Row],[Date du paiement]]&gt;0,"",Tableau3384[[#This Row],[Montant
CHF]])</f>
        <v/>
      </c>
      <c r="P122" s="276" t="str">
        <f>IF(Tableau3384[[#This Row],[Date du paiement]]="",$B$4-Tableau3384[[#This Row],[Écheance]],"")</f>
        <v/>
      </c>
      <c r="Q122" s="168" t="str">
        <f>IF(Tableau3384[[#This Row],[Date du paiement]]="",IF(Tableau3384[[#This Row],[jours jusqu''à l''écheance]]&gt;0,Tableau3384[[#This Row],[Montant
CHF]],""),"")</f>
        <v/>
      </c>
      <c r="R122" s="298" t="str">
        <f>IF(Tableau3384[[#This Row],[Date du paiement]]="",IF(Tableau3384[[#This Row],[jours jusqu''à l''écheance]]-($B$4-$B$11-1)&gt;0,Tableau3384[[#This Row],[Montant
CHF]],""),"")</f>
        <v/>
      </c>
      <c r="S122" s="142"/>
      <c r="T122" s="95" t="str">
        <f>IF(Tableau3384[[#This Row],[Paiements prevus]]="oui",Tableau3384[[#This Row],[Montant prevu à payer CH]],"")</f>
        <v/>
      </c>
      <c r="U122" s="129"/>
      <c r="V122" s="73"/>
      <c r="W122" s="68"/>
      <c r="X122" s="23">
        <v>45349</v>
      </c>
      <c r="Y122" s="7" t="s">
        <v>105</v>
      </c>
      <c r="Z122" s="120" t="str">
        <f>IF(Tableau3384[[#This Row],[Méthode du paiement]]="Mastercard","OUI","")</f>
        <v>OUI</v>
      </c>
      <c r="AA122" s="6" t="s">
        <v>14</v>
      </c>
      <c r="AB122" s="6" t="s">
        <v>190</v>
      </c>
    </row>
    <row r="123" spans="1:28" hidden="1" x14ac:dyDescent="0.25">
      <c r="A123" s="9" t="s">
        <v>191</v>
      </c>
      <c r="B123" s="21">
        <v>45349</v>
      </c>
      <c r="C123" s="21">
        <v>45349</v>
      </c>
      <c r="D123" s="22" t="s">
        <v>188</v>
      </c>
      <c r="E123" s="11">
        <v>25.55</v>
      </c>
      <c r="F123" s="88">
        <v>8.1</v>
      </c>
      <c r="G123" s="80"/>
      <c r="H123" s="136">
        <f>Tableau3384[[#This Row],[Montant
CHF]]+Tableau3384[[#This Row],[Abzug/Spesen
CHF]]</f>
        <v>25.55</v>
      </c>
      <c r="I123" s="39"/>
      <c r="J123" s="40"/>
      <c r="K123" s="189"/>
      <c r="L123" s="298"/>
      <c r="M123" s="81"/>
      <c r="N123" s="21">
        <v>45349</v>
      </c>
      <c r="O123" s="282" t="str">
        <f>IF(Tableau3384[[#This Row],[Date du paiement]]&gt;0,"",Tableau3384[[#This Row],[Montant
CHF]])</f>
        <v/>
      </c>
      <c r="P123" s="276" t="str">
        <f>IF(Tableau3384[[#This Row],[Date du paiement]]="",$B$4-Tableau3384[[#This Row],[Écheance]],"")</f>
        <v/>
      </c>
      <c r="Q123" s="168" t="str">
        <f>IF(Tableau3384[[#This Row],[Date du paiement]]="",IF(Tableau3384[[#This Row],[jours jusqu''à l''écheance]]&gt;0,Tableau3384[[#This Row],[Montant
CHF]],""),"")</f>
        <v/>
      </c>
      <c r="R123" s="298" t="str">
        <f>IF(Tableau3384[[#This Row],[Date du paiement]]="",IF(Tableau3384[[#This Row],[jours jusqu''à l''écheance]]-($B$4-$B$11-1)&gt;0,Tableau3384[[#This Row],[Montant
CHF]],""),"")</f>
        <v/>
      </c>
      <c r="S123" s="142"/>
      <c r="T123" s="95" t="str">
        <f>IF(Tableau3384[[#This Row],[Paiements prevus]]="oui",Tableau3384[[#This Row],[Montant prevu à payer CH]],"")</f>
        <v/>
      </c>
      <c r="U123" s="129"/>
      <c r="V123" s="73"/>
      <c r="W123" s="68"/>
      <c r="X123" s="23">
        <v>45349</v>
      </c>
      <c r="Y123" s="7" t="s">
        <v>105</v>
      </c>
      <c r="Z123" s="120" t="str">
        <f>IF(Tableau3384[[#This Row],[Méthode du paiement]]="Mastercard","OUI","")</f>
        <v>OUI</v>
      </c>
      <c r="AA123" s="6" t="s">
        <v>102</v>
      </c>
      <c r="AB123" s="6" t="s">
        <v>192</v>
      </c>
    </row>
    <row r="124" spans="1:28" hidden="1" x14ac:dyDescent="0.25">
      <c r="A124" s="9" t="s">
        <v>344</v>
      </c>
      <c r="B124" s="21">
        <v>45349</v>
      </c>
      <c r="C124" s="21">
        <v>45349</v>
      </c>
      <c r="D124" s="22" t="s">
        <v>209</v>
      </c>
      <c r="E124" s="11">
        <v>129.85</v>
      </c>
      <c r="F124" s="88">
        <v>8.1</v>
      </c>
      <c r="G124" s="80"/>
      <c r="H124" s="136">
        <f>Tableau3384[[#This Row],[Montant
CHF]]+Tableau3384[[#This Row],[Abzug/Spesen
CHF]]</f>
        <v>129.85</v>
      </c>
      <c r="I124" s="39"/>
      <c r="J124" s="40"/>
      <c r="K124" s="189"/>
      <c r="L124" s="298"/>
      <c r="M124" s="81"/>
      <c r="N124" s="21">
        <v>45349</v>
      </c>
      <c r="O124" s="282" t="str">
        <f>IF(Tableau3384[[#This Row],[Date du paiement]]&gt;0,"",Tableau3384[[#This Row],[Montant
CHF]])</f>
        <v/>
      </c>
      <c r="P124" s="276" t="str">
        <f>IF(Tableau3384[[#This Row],[Date du paiement]]="",$B$4-Tableau3384[[#This Row],[Écheance]],"")</f>
        <v/>
      </c>
      <c r="Q124" s="168" t="str">
        <f>IF(Tableau3384[[#This Row],[Date du paiement]]="",IF(Tableau3384[[#This Row],[jours jusqu''à l''écheance]]&gt;0,Tableau3384[[#This Row],[Montant
CHF]],""),"")</f>
        <v/>
      </c>
      <c r="R124" s="298" t="str">
        <f>IF(Tableau3384[[#This Row],[Date du paiement]]="",IF(Tableau3384[[#This Row],[jours jusqu''à l''écheance]]-($B$4-$B$11-1)&gt;0,Tableau3384[[#This Row],[Montant
CHF]],""),"")</f>
        <v/>
      </c>
      <c r="S124" s="142"/>
      <c r="T124" s="95" t="str">
        <f>IF(Tableau3384[[#This Row],[Paiements prevus]]="oui",Tableau3384[[#This Row],[Montant prevu à payer CH]],"")</f>
        <v/>
      </c>
      <c r="U124" s="129"/>
      <c r="V124" s="73"/>
      <c r="W124" s="68"/>
      <c r="X124" s="23">
        <v>45350</v>
      </c>
      <c r="Y124" s="7" t="s">
        <v>345</v>
      </c>
      <c r="Z124" s="120" t="str">
        <f>IF(Tableau3384[[#This Row],[Méthode du paiement]]="Mastercard","OUI","")</f>
        <v/>
      </c>
      <c r="AA124" s="6" t="s">
        <v>14</v>
      </c>
      <c r="AB124" s="6" t="s">
        <v>214</v>
      </c>
    </row>
    <row r="125" spans="1:28" hidden="1" x14ac:dyDescent="0.25">
      <c r="A125" s="9" t="s">
        <v>204</v>
      </c>
      <c r="B125" s="21">
        <v>45349</v>
      </c>
      <c r="C125" s="21">
        <v>45349</v>
      </c>
      <c r="D125" s="22" t="s">
        <v>205</v>
      </c>
      <c r="E125" s="11">
        <v>714</v>
      </c>
      <c r="F125" s="88">
        <v>0</v>
      </c>
      <c r="G125" s="80"/>
      <c r="H125" s="136">
        <f>Tableau3384[[#This Row],[Montant
CHF]]+Tableau3384[[#This Row],[Abzug/Spesen
CHF]]</f>
        <v>714</v>
      </c>
      <c r="I125" s="39"/>
      <c r="J125" s="40"/>
      <c r="K125" s="189"/>
      <c r="L125" s="298"/>
      <c r="M125" s="81"/>
      <c r="N125" s="21">
        <v>45379</v>
      </c>
      <c r="O125" s="282" t="str">
        <f>IF(Tableau3384[[#This Row],[Date du paiement]]&gt;0,"",Tableau3384[[#This Row],[Montant
CHF]])</f>
        <v/>
      </c>
      <c r="P125" s="276" t="str">
        <f>IF(Tableau3384[[#This Row],[Date du paiement]]="",$B$4-Tableau3384[[#This Row],[Écheance]],"")</f>
        <v/>
      </c>
      <c r="Q125" s="168" t="str">
        <f>IF(Tableau3384[[#This Row],[Date du paiement]]="",IF(Tableau3384[[#This Row],[jours jusqu''à l''écheance]]&gt;0,Tableau3384[[#This Row],[Montant
CHF]],""),"")</f>
        <v/>
      </c>
      <c r="R125" s="298" t="str">
        <f>IF(Tableau3384[[#This Row],[Date du paiement]]="",IF(Tableau3384[[#This Row],[jours jusqu''à l''écheance]]-($B$4-$B$11-1)&gt;0,Tableau3384[[#This Row],[Montant
CHF]],""),"")</f>
        <v/>
      </c>
      <c r="S125" s="142"/>
      <c r="T125" s="95" t="str">
        <f>IF(Tableau3384[[#This Row],[Paiements prevus]]="oui",Tableau3384[[#This Row],[Montant prevu à payer CH]],"")</f>
        <v/>
      </c>
      <c r="U125" s="129"/>
      <c r="V125" s="73"/>
      <c r="W125" s="68"/>
      <c r="X125" s="23">
        <v>45384</v>
      </c>
      <c r="Y125" s="7" t="s">
        <v>58</v>
      </c>
      <c r="Z125" s="120" t="str">
        <f>IF(Tableau3384[[#This Row],[Méthode du paiement]]="Mastercard","OUI","")</f>
        <v/>
      </c>
      <c r="AA125" s="6" t="s">
        <v>43</v>
      </c>
      <c r="AB125" s="6" t="s">
        <v>206</v>
      </c>
    </row>
    <row r="126" spans="1:28" hidden="1" x14ac:dyDescent="0.25">
      <c r="A126" s="9" t="s">
        <v>476</v>
      </c>
      <c r="B126" s="21">
        <v>45349</v>
      </c>
      <c r="C126" s="21">
        <v>45350</v>
      </c>
      <c r="D126" s="22" t="s">
        <v>104</v>
      </c>
      <c r="E126" s="11">
        <v>259.60000000000002</v>
      </c>
      <c r="F126" s="88">
        <v>8.1</v>
      </c>
      <c r="G126" s="80"/>
      <c r="H126" s="136">
        <f>Tableau3384[[#This Row],[Montant
CHF]]+Tableau3384[[#This Row],[Abzug/Spesen
CHF]]</f>
        <v>259.60000000000002</v>
      </c>
      <c r="I126" s="39"/>
      <c r="J126" s="40"/>
      <c r="K126" s="189"/>
      <c r="L126" s="298"/>
      <c r="M126" s="81"/>
      <c r="N126" s="21">
        <v>45342</v>
      </c>
      <c r="O126" s="282" t="str">
        <f>IF(Tableau3384[[#This Row],[Date du paiement]]&gt;0,"",Tableau3384[[#This Row],[Montant
CHF]])</f>
        <v/>
      </c>
      <c r="P126" s="276" t="str">
        <f>IF(Tableau3384[[#This Row],[Date du paiement]]="",$B$4-Tableau3384[[#This Row],[Écheance]],"")</f>
        <v/>
      </c>
      <c r="Q126" s="168" t="str">
        <f>IF(Tableau3384[[#This Row],[Date du paiement]]="",IF(Tableau3384[[#This Row],[jours jusqu''à l''écheance]]&gt;0,Tableau3384[[#This Row],[Montant
CHF]],""),"")</f>
        <v/>
      </c>
      <c r="R126" s="298" t="str">
        <f>IF(Tableau3384[[#This Row],[Date du paiement]]="",IF(Tableau3384[[#This Row],[jours jusqu''à l''écheance]]-($B$4-$B$11-1)&gt;0,Tableau3384[[#This Row],[Montant
CHF]],""),"")</f>
        <v/>
      </c>
      <c r="S126" s="142"/>
      <c r="T126" s="95" t="str">
        <f>IF(Tableau3384[[#This Row],[Paiements prevus]]="oui",Tableau3384[[#This Row],[Montant prevu à payer CH]],"")</f>
        <v/>
      </c>
      <c r="U126" s="129"/>
      <c r="V126" s="73"/>
      <c r="W126" s="68"/>
      <c r="X126" s="23">
        <v>45342</v>
      </c>
      <c r="Y126" s="7" t="s">
        <v>105</v>
      </c>
      <c r="Z126" s="120" t="str">
        <f>IF(Tableau3384[[#This Row],[Méthode du paiement]]="Mastercard","OUI","")</f>
        <v>OUI</v>
      </c>
      <c r="AA126" s="6" t="s">
        <v>14</v>
      </c>
      <c r="AB126" s="6" t="s">
        <v>477</v>
      </c>
    </row>
    <row r="127" spans="1:28" hidden="1" x14ac:dyDescent="0.25">
      <c r="A127" s="9" t="s">
        <v>187</v>
      </c>
      <c r="B127" s="21">
        <v>45350</v>
      </c>
      <c r="C127" s="21">
        <v>45350</v>
      </c>
      <c r="D127" s="22" t="s">
        <v>188</v>
      </c>
      <c r="E127" s="11">
        <v>99</v>
      </c>
      <c r="F127" s="88">
        <v>0</v>
      </c>
      <c r="G127" s="80"/>
      <c r="H127" s="136">
        <f>Tableau3384[[#This Row],[Montant
CHF]]+Tableau3384[[#This Row],[Abzug/Spesen
CHF]]</f>
        <v>99</v>
      </c>
      <c r="I127" s="39"/>
      <c r="J127" s="40"/>
      <c r="K127" s="189"/>
      <c r="L127" s="298"/>
      <c r="M127" s="81"/>
      <c r="N127" s="21">
        <v>45350</v>
      </c>
      <c r="O127" s="282" t="str">
        <f>IF(Tableau3384[[#This Row],[Date du paiement]]&gt;0,"",Tableau3384[[#This Row],[Montant
CHF]])</f>
        <v/>
      </c>
      <c r="P127" s="276" t="str">
        <f>IF(Tableau3384[[#This Row],[Date du paiement]]="",$B$4-Tableau3384[[#This Row],[Écheance]],"")</f>
        <v/>
      </c>
      <c r="Q127" s="168" t="str">
        <f>IF(Tableau3384[[#This Row],[Date du paiement]]="",IF(Tableau3384[[#This Row],[jours jusqu''à l''écheance]]&gt;0,Tableau3384[[#This Row],[Montant
CHF]],""),"")</f>
        <v/>
      </c>
      <c r="R127" s="298" t="str">
        <f>IF(Tableau3384[[#This Row],[Date du paiement]]="",IF(Tableau3384[[#This Row],[jours jusqu''à l''écheance]]-($B$4-$B$11-1)&gt;0,Tableau3384[[#This Row],[Montant
CHF]],""),"")</f>
        <v/>
      </c>
      <c r="S127" s="142"/>
      <c r="T127" s="95" t="str">
        <f>IF(Tableau3384[[#This Row],[Paiements prevus]]="oui",Tableau3384[[#This Row],[Montant prevu à payer CH]],"")</f>
        <v/>
      </c>
      <c r="U127" s="129"/>
      <c r="V127" s="73"/>
      <c r="W127" s="68"/>
      <c r="X127" s="23">
        <v>45350</v>
      </c>
      <c r="Y127" s="7" t="s">
        <v>105</v>
      </c>
      <c r="Z127" s="120" t="str">
        <f>IF(Tableau3384[[#This Row],[Méthode du paiement]]="Mastercard","OUI","")</f>
        <v>OUI</v>
      </c>
      <c r="AA127" s="6" t="s">
        <v>14</v>
      </c>
      <c r="AB127" s="6" t="s">
        <v>189</v>
      </c>
    </row>
    <row r="128" spans="1:28" hidden="1" x14ac:dyDescent="0.25">
      <c r="A128" s="9" t="s">
        <v>198</v>
      </c>
      <c r="B128" s="21">
        <v>45350</v>
      </c>
      <c r="C128" s="21">
        <v>45350</v>
      </c>
      <c r="D128" s="22" t="s">
        <v>196</v>
      </c>
      <c r="E128" s="11">
        <v>1207.55</v>
      </c>
      <c r="F128" s="88">
        <v>8.1</v>
      </c>
      <c r="G128" s="80"/>
      <c r="H128" s="136">
        <f>Tableau3384[[#This Row],[Montant
CHF]]+Tableau3384[[#This Row],[Abzug/Spesen
CHF]]</f>
        <v>1207.55</v>
      </c>
      <c r="I128" s="39"/>
      <c r="J128" s="40"/>
      <c r="K128" s="189"/>
      <c r="L128" s="298"/>
      <c r="M128" s="81"/>
      <c r="N128" s="21">
        <v>45360</v>
      </c>
      <c r="O128" s="282" t="str">
        <f>IF(Tableau3384[[#This Row],[Date du paiement]]&gt;0,"",Tableau3384[[#This Row],[Montant
CHF]])</f>
        <v/>
      </c>
      <c r="P128" s="276" t="str">
        <f>IF(Tableau3384[[#This Row],[Date du paiement]]="",$B$4-Tableau3384[[#This Row],[Écheance]],"")</f>
        <v/>
      </c>
      <c r="Q128" s="168" t="str">
        <f>IF(Tableau3384[[#This Row],[Date du paiement]]="",IF(Tableau3384[[#This Row],[jours jusqu''à l''écheance]]&gt;0,Tableau3384[[#This Row],[Montant
CHF]],""),"")</f>
        <v/>
      </c>
      <c r="R128" s="298" t="str">
        <f>IF(Tableau3384[[#This Row],[Date du paiement]]="",IF(Tableau3384[[#This Row],[jours jusqu''à l''écheance]]-($B$4-$B$11-1)&gt;0,Tableau3384[[#This Row],[Montant
CHF]],""),"")</f>
        <v/>
      </c>
      <c r="S128" s="142"/>
      <c r="T128" s="95" t="str">
        <f>IF(Tableau3384[[#This Row],[Paiements prevus]]="oui",Tableau3384[[#This Row],[Montant prevu à payer CH]],"")</f>
        <v/>
      </c>
      <c r="U128" s="129"/>
      <c r="V128" s="73"/>
      <c r="W128" s="68"/>
      <c r="X128" s="23">
        <v>45384</v>
      </c>
      <c r="Y128" s="7" t="s">
        <v>58</v>
      </c>
      <c r="Z128" s="120" t="str">
        <f>IF(Tableau3384[[#This Row],[Méthode du paiement]]="Mastercard","OUI","")</f>
        <v/>
      </c>
      <c r="AA128" s="6" t="s">
        <v>4</v>
      </c>
      <c r="AB128" s="6" t="s">
        <v>200</v>
      </c>
    </row>
    <row r="129" spans="1:28" hidden="1" x14ac:dyDescent="0.25">
      <c r="A129" s="9" t="s">
        <v>312</v>
      </c>
      <c r="B129" s="21">
        <v>45350</v>
      </c>
      <c r="C129" s="21">
        <v>45350</v>
      </c>
      <c r="D129" s="22" t="s">
        <v>216</v>
      </c>
      <c r="E129" s="11">
        <v>947</v>
      </c>
      <c r="F129" s="88">
        <v>100</v>
      </c>
      <c r="G129" s="80"/>
      <c r="H129" s="136">
        <f>Tableau3384[[#This Row],[Montant
CHF]]+Tableau3384[[#This Row],[Abzug/Spesen
CHF]]</f>
        <v>947</v>
      </c>
      <c r="I129" s="39"/>
      <c r="J129" s="40"/>
      <c r="K129" s="189"/>
      <c r="L129" s="298"/>
      <c r="M129" s="81"/>
      <c r="N129" s="21">
        <f>Tableau3384[[#This Row],[Date de 
la facture]]+60</f>
        <v>45410</v>
      </c>
      <c r="O129" s="282" t="str">
        <f>IF(Tableau3384[[#This Row],[Date du paiement]]&gt;0,"",Tableau3384[[#This Row],[Montant
CHF]])</f>
        <v/>
      </c>
      <c r="P129" s="276" t="str">
        <f>IF(Tableau3384[[#This Row],[Date du paiement]]="",$B$4-Tableau3384[[#This Row],[Écheance]],"")</f>
        <v/>
      </c>
      <c r="Q129" s="168" t="str">
        <f>IF(Tableau3384[[#This Row],[Date du paiement]]="",IF(Tableau3384[[#This Row],[jours jusqu''à l''écheance]]&gt;0,Tableau3384[[#This Row],[Montant
CHF]],""),"")</f>
        <v/>
      </c>
      <c r="R129" s="298" t="str">
        <f>IF(Tableau3384[[#This Row],[Date du paiement]]="",IF(Tableau3384[[#This Row],[jours jusqu''à l''écheance]]-($B$4-$B$11-1)&gt;0,Tableau3384[[#This Row],[Montant
CHF]],""),"")</f>
        <v/>
      </c>
      <c r="S129" s="142"/>
      <c r="T129" s="95" t="str">
        <f>IF(Tableau3384[[#This Row],[Paiements prevus]]="oui",Tableau3384[[#This Row],[Montant prevu à payer CH]],"")</f>
        <v/>
      </c>
      <c r="U129" s="129"/>
      <c r="V129" s="73"/>
      <c r="W129" s="68"/>
      <c r="X129" s="23">
        <v>45411</v>
      </c>
      <c r="Y129" s="7" t="s">
        <v>58</v>
      </c>
      <c r="Z129" s="120" t="str">
        <f>IF(Tableau3384[[#This Row],[Méthode du paiement]]="Mastercard","OUI","")</f>
        <v/>
      </c>
      <c r="AA129" s="6" t="s">
        <v>604</v>
      </c>
      <c r="AB129" s="6" t="s">
        <v>320</v>
      </c>
    </row>
    <row r="130" spans="1:28" hidden="1" x14ac:dyDescent="0.25">
      <c r="A130" s="9" t="s">
        <v>157</v>
      </c>
      <c r="B130" s="21">
        <v>45350</v>
      </c>
      <c r="C130" s="21">
        <v>45351</v>
      </c>
      <c r="D130" s="22" t="s">
        <v>92</v>
      </c>
      <c r="E130" s="11">
        <v>1368</v>
      </c>
      <c r="F130" s="88">
        <v>8.1</v>
      </c>
      <c r="G130" s="80"/>
      <c r="H130" s="136">
        <f>Tableau3384[[#This Row],[Montant
CHF]]+Tableau3384[[#This Row],[Abzug/Spesen
CHF]]</f>
        <v>1368</v>
      </c>
      <c r="I130" s="39"/>
      <c r="J130" s="40"/>
      <c r="K130" s="189"/>
      <c r="L130" s="298"/>
      <c r="M130" s="81"/>
      <c r="N130" s="21">
        <v>45359</v>
      </c>
      <c r="O130" s="282" t="str">
        <f>IF(Tableau3384[[#This Row],[Date du paiement]]&gt;0,"",Tableau3384[[#This Row],[Montant
CHF]])</f>
        <v/>
      </c>
      <c r="P130" s="276" t="str">
        <f>IF(Tableau3384[[#This Row],[Date du paiement]]="",$B$4-Tableau3384[[#This Row],[Écheance]],"")</f>
        <v/>
      </c>
      <c r="Q130" s="168" t="str">
        <f>IF(Tableau3384[[#This Row],[Date du paiement]]="",IF(Tableau3384[[#This Row],[jours jusqu''à l''écheance]]&gt;0,Tableau3384[[#This Row],[Montant
CHF]],""),"")</f>
        <v/>
      </c>
      <c r="R130" s="298" t="str">
        <f>IF(Tableau3384[[#This Row],[Date du paiement]]="",IF(Tableau3384[[#This Row],[jours jusqu''à l''écheance]]-($B$4-$B$11-1)&gt;0,Tableau3384[[#This Row],[Montant
CHF]],""),"")</f>
        <v/>
      </c>
      <c r="S130" s="142"/>
      <c r="T130" s="95" t="str">
        <f>IF(Tableau3384[[#This Row],[Paiements prevus]]="oui",Tableau3384[[#This Row],[Montant prevu à payer CH]],"")</f>
        <v/>
      </c>
      <c r="U130" s="129"/>
      <c r="V130" s="73"/>
      <c r="W130" s="68"/>
      <c r="X130" s="23">
        <v>45384</v>
      </c>
      <c r="Y130" s="7" t="s">
        <v>58</v>
      </c>
      <c r="Z130" s="120" t="str">
        <f>IF(Tableau3384[[#This Row],[Méthode du paiement]]="Mastercard","OUI","")</f>
        <v/>
      </c>
      <c r="AA130" s="6" t="s">
        <v>14</v>
      </c>
      <c r="AB130" s="6" t="s">
        <v>179</v>
      </c>
    </row>
    <row r="131" spans="1:28" hidden="1" x14ac:dyDescent="0.25">
      <c r="A131" s="9" t="s">
        <v>193</v>
      </c>
      <c r="B131" s="21">
        <v>45350</v>
      </c>
      <c r="C131" s="21">
        <v>45352</v>
      </c>
      <c r="D131" s="22" t="s">
        <v>117</v>
      </c>
      <c r="E131" s="11">
        <f>Tableau3384[[#This Row],[Montant
EUR]]*Tableau3384[[#This Row],[Taux 
de change]]</f>
        <v>5098.6400000000003</v>
      </c>
      <c r="F131" s="88">
        <v>0</v>
      </c>
      <c r="G131" s="80"/>
      <c r="H131" s="136">
        <f>Tableau3384[[#This Row],[Montant
CHF]]+Tableau3384[[#This Row],[Abzug/Spesen
CHF]]</f>
        <v>5098.6400000000003</v>
      </c>
      <c r="I131" s="39">
        <v>0.97750000000000004</v>
      </c>
      <c r="J131" s="40">
        <v>5216</v>
      </c>
      <c r="K131" s="189"/>
      <c r="L131" s="298"/>
      <c r="M131" s="81"/>
      <c r="N131" s="21">
        <v>45380</v>
      </c>
      <c r="O131" s="282" t="str">
        <f>IF(Tableau3384[[#This Row],[Date du paiement]]&gt;0,"",Tableau3384[[#This Row],[Montant
CHF]])</f>
        <v/>
      </c>
      <c r="P131" s="276" t="str">
        <f>IF(Tableau3384[[#This Row],[Date du paiement]]="",$B$4-Tableau3384[[#This Row],[Écheance]],"")</f>
        <v/>
      </c>
      <c r="Q131" s="168" t="str">
        <f>IF(Tableau3384[[#This Row],[Date du paiement]]="",IF(Tableau3384[[#This Row],[jours jusqu''à l''écheance]]&gt;0,Tableau3384[[#This Row],[Montant
CHF]],""),"")</f>
        <v/>
      </c>
      <c r="R131" s="298" t="str">
        <f>IF(Tableau3384[[#This Row],[Date du paiement]]="",IF(Tableau3384[[#This Row],[jours jusqu''à l''écheance]]-($B$4-$B$11-1)&gt;0,Tableau3384[[#This Row],[Montant
CHF]],""),"")</f>
        <v/>
      </c>
      <c r="S131" s="142"/>
      <c r="T131" s="95" t="str">
        <f>IF(Tableau3384[[#This Row],[Paiements prevus]]="oui",Tableau3384[[#This Row],[Montant prevu à payer CH]],"")</f>
        <v/>
      </c>
      <c r="U131" s="129"/>
      <c r="V131" s="73"/>
      <c r="W131" s="68"/>
      <c r="X131" s="23">
        <v>45384</v>
      </c>
      <c r="Y131" s="7" t="s">
        <v>58</v>
      </c>
      <c r="Z131" s="120" t="str">
        <f>IF(Tableau3384[[#This Row],[Méthode du paiement]]="Mastercard","OUI","")</f>
        <v/>
      </c>
      <c r="AA131" s="6" t="s">
        <v>14</v>
      </c>
      <c r="AB131" s="6" t="s">
        <v>194</v>
      </c>
    </row>
    <row r="132" spans="1:28" hidden="1" x14ac:dyDescent="0.25">
      <c r="A132" s="9" t="s">
        <v>247</v>
      </c>
      <c r="B132" s="21">
        <v>45350</v>
      </c>
      <c r="C132" s="21">
        <v>45352</v>
      </c>
      <c r="D132" s="22" t="s">
        <v>117</v>
      </c>
      <c r="E132" s="11">
        <f>Tableau3384[[#This Row],[Montant
EUR]]*Tableau3384[[#This Row],[Taux 
de change]]</f>
        <v>1124.11994</v>
      </c>
      <c r="F132" s="88">
        <v>0</v>
      </c>
      <c r="G132" s="80"/>
      <c r="H132" s="136">
        <f>Tableau3384[[#This Row],[Montant
CHF]]+Tableau3384[[#This Row],[Abzug/Spesen
CHF]]</f>
        <v>1124.11994</v>
      </c>
      <c r="I132" s="39">
        <v>0.97749560000000002</v>
      </c>
      <c r="J132" s="40">
        <v>1150</v>
      </c>
      <c r="K132" s="189"/>
      <c r="L132" s="298"/>
      <c r="M132" s="81"/>
      <c r="N132" s="21">
        <v>45380</v>
      </c>
      <c r="O132" s="282" t="str">
        <f>IF(Tableau3384[[#This Row],[Date du paiement]]&gt;0,"",Tableau3384[[#This Row],[Montant
CHF]])</f>
        <v/>
      </c>
      <c r="P132" s="276" t="str">
        <f>IF(Tableau3384[[#This Row],[Date du paiement]]="",$B$4-Tableau3384[[#This Row],[Écheance]],"")</f>
        <v/>
      </c>
      <c r="Q132" s="168" t="str">
        <f>IF(Tableau3384[[#This Row],[Date du paiement]]="",IF(Tableau3384[[#This Row],[jours jusqu''à l''écheance]]&gt;0,Tableau3384[[#This Row],[Montant
CHF]],""),"")</f>
        <v/>
      </c>
      <c r="R132" s="298" t="str">
        <f>IF(Tableau3384[[#This Row],[Date du paiement]]="",IF(Tableau3384[[#This Row],[jours jusqu''à l''écheance]]-($B$4-$B$11-1)&gt;0,Tableau3384[[#This Row],[Montant
CHF]],""),"")</f>
        <v/>
      </c>
      <c r="S132" s="142"/>
      <c r="T132" s="95" t="str">
        <f>IF(Tableau3384[[#This Row],[Paiements prevus]]="oui",Tableau3384[[#This Row],[Montant prevu à payer CH]],"")</f>
        <v/>
      </c>
      <c r="U132" s="129"/>
      <c r="V132" s="73"/>
      <c r="W132" s="68"/>
      <c r="X132" s="23">
        <v>45384</v>
      </c>
      <c r="Y132" s="7" t="s">
        <v>58</v>
      </c>
      <c r="Z132" s="120" t="str">
        <f>IF(Tableau3384[[#This Row],[Méthode du paiement]]="Mastercard","OUI","")</f>
        <v/>
      </c>
      <c r="AA132" s="6" t="s">
        <v>11</v>
      </c>
      <c r="AB132" s="6" t="s">
        <v>194</v>
      </c>
    </row>
    <row r="133" spans="1:28" hidden="1" x14ac:dyDescent="0.25">
      <c r="A133" s="159" t="s">
        <v>636</v>
      </c>
      <c r="B133" s="43">
        <v>45350</v>
      </c>
      <c r="C133" s="43">
        <v>45440</v>
      </c>
      <c r="D133" s="44" t="s">
        <v>186</v>
      </c>
      <c r="E133" s="11">
        <f>16708.5+0.6</f>
        <v>16709.099999999999</v>
      </c>
      <c r="F133" s="89">
        <v>100</v>
      </c>
      <c r="G133" s="84"/>
      <c r="H133" s="136">
        <f>Tableau3384[[#This Row],[Montant
CHF]]+Tableau3384[[#This Row],[Abzug/Spesen
CHF]]</f>
        <v>16709.099999999999</v>
      </c>
      <c r="I133" s="45"/>
      <c r="J133" s="46"/>
      <c r="K133" s="46"/>
      <c r="L133" s="356"/>
      <c r="M133" s="85"/>
      <c r="N133" s="43">
        <v>45443</v>
      </c>
      <c r="O133" s="282" t="str">
        <f>IF(Tableau3384[[#This Row],[Date du paiement]]&gt;0,"",Tableau3384[[#This Row],[Montant
CHF]])</f>
        <v/>
      </c>
      <c r="P133" s="276" t="str">
        <f>IF(Tableau3384[[#This Row],[Date du paiement]]="",$B$4-Tableau3384[[#This Row],[Écheance]],"")</f>
        <v/>
      </c>
      <c r="Q133" s="168" t="str">
        <f>IF(Tableau3384[[#This Row],[Date du paiement]]="",IF(Tableau3384[[#This Row],[jours jusqu''à l''écheance]]&gt;0,Tableau3384[[#This Row],[Montant
CHF]],""),"")</f>
        <v/>
      </c>
      <c r="R133" s="298" t="str">
        <f>IF(Tableau3384[[#This Row],[Date du paiement]]="",IF(Tableau3384[[#This Row],[jours jusqu''à l''écheance]]+(#REF!-#REF!)&gt;0,Tableau3384[[#This Row],[Montant
CHF]],""),"")</f>
        <v/>
      </c>
      <c r="S133" s="142"/>
      <c r="T133" s="95" t="str">
        <f>IF(Tableau3384[[#This Row],[Paiements prevus]]="oui",Tableau3384[[#This Row],[Montant prevu à payer CH]],"")</f>
        <v/>
      </c>
      <c r="U133" s="191"/>
      <c r="V133" s="73" t="s">
        <v>1075</v>
      </c>
      <c r="W133" s="68"/>
      <c r="X133" s="23">
        <v>45446</v>
      </c>
      <c r="Y133" s="7" t="s">
        <v>58</v>
      </c>
      <c r="Z133" s="120" t="str">
        <f>IF(Tableau3384[[#This Row],[Méthode du paiement]]="Mastercard","OUI","")</f>
        <v/>
      </c>
      <c r="AA133" s="160" t="s">
        <v>604</v>
      </c>
      <c r="AB133" s="160" t="s">
        <v>636</v>
      </c>
    </row>
    <row r="134" spans="1:28" hidden="1" x14ac:dyDescent="0.25">
      <c r="A134" s="9" t="s">
        <v>185</v>
      </c>
      <c r="B134" s="21">
        <v>45351</v>
      </c>
      <c r="C134" s="21">
        <v>45351</v>
      </c>
      <c r="D134" s="155" t="s">
        <v>186</v>
      </c>
      <c r="E134" s="11">
        <v>3355.4</v>
      </c>
      <c r="F134" s="88">
        <v>100</v>
      </c>
      <c r="G134" s="80"/>
      <c r="H134" s="136">
        <f>Tableau3384[[#This Row],[Montant
CHF]]+Tableau3384[[#This Row],[Abzug/Spesen
CHF]]</f>
        <v>3355.4</v>
      </c>
      <c r="I134" s="39"/>
      <c r="J134" s="40"/>
      <c r="K134" s="189"/>
      <c r="L134" s="298"/>
      <c r="M134" s="81"/>
      <c r="N134" s="21">
        <v>45351</v>
      </c>
      <c r="O134" s="282" t="str">
        <f>IF(Tableau3384[[#This Row],[Date du paiement]]&gt;0,"",Tableau3384[[#This Row],[Montant
CHF]])</f>
        <v/>
      </c>
      <c r="P134" s="276" t="str">
        <f>IF(Tableau3384[[#This Row],[Date du paiement]]="",$B$4-Tableau3384[[#This Row],[Écheance]],"")</f>
        <v/>
      </c>
      <c r="Q134" s="168" t="str">
        <f>IF(Tableau3384[[#This Row],[Date du paiement]]="",IF(Tableau3384[[#This Row],[jours jusqu''à l''écheance]]&gt;0,Tableau3384[[#This Row],[Montant
CHF]],""),"")</f>
        <v/>
      </c>
      <c r="R134" s="298" t="str">
        <f>IF(Tableau3384[[#This Row],[Date du paiement]]="",IF(Tableau3384[[#This Row],[jours jusqu''à l''écheance]]-($B$4-$B$11-1)&gt;0,Tableau3384[[#This Row],[Montant
CHF]],""),"")</f>
        <v/>
      </c>
      <c r="S134" s="142"/>
      <c r="T134" s="95" t="str">
        <f>IF(Tableau3384[[#This Row],[Paiements prevus]]="oui",Tableau3384[[#This Row],[Montant prevu à payer CH]],"")</f>
        <v/>
      </c>
      <c r="U134" s="129"/>
      <c r="V134" s="73"/>
      <c r="W134" s="68"/>
      <c r="X134" s="23">
        <v>45351</v>
      </c>
      <c r="Y134" s="7" t="s">
        <v>58</v>
      </c>
      <c r="Z134" s="120" t="str">
        <f>IF(Tableau3384[[#This Row],[Méthode du paiement]]="Mastercard","OUI","")</f>
        <v/>
      </c>
      <c r="AA134" s="160" t="s">
        <v>604</v>
      </c>
      <c r="AB134" s="6" t="s">
        <v>185</v>
      </c>
    </row>
    <row r="135" spans="1:28" hidden="1" x14ac:dyDescent="0.25">
      <c r="A135" s="9" t="s">
        <v>203</v>
      </c>
      <c r="B135" s="21">
        <v>45351</v>
      </c>
      <c r="C135" s="21">
        <v>45351</v>
      </c>
      <c r="D135" s="22" t="s">
        <v>101</v>
      </c>
      <c r="E135" s="11">
        <v>116.13</v>
      </c>
      <c r="F135" s="88">
        <v>8.1</v>
      </c>
      <c r="G135" s="80"/>
      <c r="H135" s="136">
        <f>Tableau3384[[#This Row],[Montant
CHF]]+Tableau3384[[#This Row],[Abzug/Spesen
CHF]]</f>
        <v>116.13</v>
      </c>
      <c r="I135" s="39"/>
      <c r="J135" s="40"/>
      <c r="K135" s="189"/>
      <c r="L135" s="298"/>
      <c r="M135" s="81"/>
      <c r="N135" s="21">
        <v>45381</v>
      </c>
      <c r="O135" s="282" t="str">
        <f>IF(Tableau3384[[#This Row],[Date du paiement]]&gt;0,"",Tableau3384[[#This Row],[Montant
CHF]])</f>
        <v/>
      </c>
      <c r="P135" s="276" t="str">
        <f>IF(Tableau3384[[#This Row],[Date du paiement]]="",$B$4-Tableau3384[[#This Row],[Écheance]],"")</f>
        <v/>
      </c>
      <c r="Q135" s="168" t="str">
        <f>IF(Tableau3384[[#This Row],[Date du paiement]]="",IF(Tableau3384[[#This Row],[jours jusqu''à l''écheance]]&gt;0,Tableau3384[[#This Row],[Montant
CHF]],""),"")</f>
        <v/>
      </c>
      <c r="R135" s="298" t="str">
        <f>IF(Tableau3384[[#This Row],[Date du paiement]]="",IF(Tableau3384[[#This Row],[jours jusqu''à l''écheance]]-($B$4-$B$11-1)&gt;0,Tableau3384[[#This Row],[Montant
CHF]],""),"")</f>
        <v/>
      </c>
      <c r="S135" s="142"/>
      <c r="T135" s="95" t="str">
        <f>IF(Tableau3384[[#This Row],[Paiements prevus]]="oui",Tableau3384[[#This Row],[Montant prevu à payer CH]],"")</f>
        <v/>
      </c>
      <c r="U135" s="129"/>
      <c r="V135" s="73"/>
      <c r="W135" s="68"/>
      <c r="X135" s="23">
        <v>45386</v>
      </c>
      <c r="Y135" s="7" t="s">
        <v>58</v>
      </c>
      <c r="Z135" s="120" t="str">
        <f>IF(Tableau3384[[#This Row],[Méthode du paiement]]="Mastercard","OUI","")</f>
        <v/>
      </c>
      <c r="AA135" s="6" t="s">
        <v>102</v>
      </c>
      <c r="AB135" s="6" t="s">
        <v>99</v>
      </c>
    </row>
    <row r="136" spans="1:28" hidden="1" x14ac:dyDescent="0.25">
      <c r="A136" s="9" t="s">
        <v>251</v>
      </c>
      <c r="B136" s="21">
        <v>45351</v>
      </c>
      <c r="C136" s="21">
        <v>45351</v>
      </c>
      <c r="D136" s="22" t="s">
        <v>120</v>
      </c>
      <c r="E136" s="11">
        <v>600</v>
      </c>
      <c r="F136" s="88">
        <v>0</v>
      </c>
      <c r="G136" s="80"/>
      <c r="H136" s="136">
        <f>Tableau3384[[#This Row],[Montant
CHF]]+Tableau3384[[#This Row],[Abzug/Spesen
CHF]]</f>
        <v>600</v>
      </c>
      <c r="I136" s="39"/>
      <c r="J136" s="40"/>
      <c r="K136" s="189"/>
      <c r="L136" s="298"/>
      <c r="M136" s="81"/>
      <c r="N136" s="21">
        <v>45381</v>
      </c>
      <c r="O136" s="282" t="str">
        <f>IF(Tableau3384[[#This Row],[Date du paiement]]&gt;0,"",Tableau3384[[#This Row],[Montant
CHF]])</f>
        <v/>
      </c>
      <c r="P136" s="276" t="str">
        <f>IF(Tableau3384[[#This Row],[Date du paiement]]="",$B$4-Tableau3384[[#This Row],[Écheance]],"")</f>
        <v/>
      </c>
      <c r="Q136" s="168" t="str">
        <f>IF(Tableau3384[[#This Row],[Date du paiement]]="",IF(Tableau3384[[#This Row],[jours jusqu''à l''écheance]]&gt;0,Tableau3384[[#This Row],[Montant
CHF]],""),"")</f>
        <v/>
      </c>
      <c r="R136" s="298" t="str">
        <f>IF(Tableau3384[[#This Row],[Date du paiement]]="",IF(Tableau3384[[#This Row],[jours jusqu''à l''écheance]]-($B$4-$B$11-1)&gt;0,Tableau3384[[#This Row],[Montant
CHF]],""),"")</f>
        <v/>
      </c>
      <c r="S136" s="142"/>
      <c r="T136" s="95" t="str">
        <f>IF(Tableau3384[[#This Row],[Paiements prevus]]="oui",Tableau3384[[#This Row],[Montant prevu à payer CH]],"")</f>
        <v/>
      </c>
      <c r="U136" s="129"/>
      <c r="V136" s="73"/>
      <c r="W136" s="68"/>
      <c r="X136" s="23">
        <v>45386</v>
      </c>
      <c r="Y136" s="7" t="s">
        <v>58</v>
      </c>
      <c r="Z136" s="120" t="str">
        <f>IF(Tableau3384[[#This Row],[Méthode du paiement]]="Mastercard","OUI","")</f>
        <v/>
      </c>
      <c r="AA136" s="6" t="s">
        <v>43</v>
      </c>
      <c r="AB136" s="6" t="s">
        <v>99</v>
      </c>
    </row>
    <row r="137" spans="1:28" hidden="1" x14ac:dyDescent="0.25">
      <c r="A137" s="9" t="s">
        <v>152</v>
      </c>
      <c r="B137" s="21">
        <v>45351</v>
      </c>
      <c r="C137" s="21">
        <v>45351</v>
      </c>
      <c r="D137" s="22" t="s">
        <v>74</v>
      </c>
      <c r="E137" s="11">
        <v>995</v>
      </c>
      <c r="F137" s="88">
        <v>8.1</v>
      </c>
      <c r="G137" s="80"/>
      <c r="H137" s="136">
        <f>Tableau3384[[#This Row],[Montant
CHF]]+Tableau3384[[#This Row],[Abzug/Spesen
CHF]]</f>
        <v>995</v>
      </c>
      <c r="I137" s="39"/>
      <c r="J137" s="40"/>
      <c r="K137" s="189"/>
      <c r="L137" s="298"/>
      <c r="M137" s="81"/>
      <c r="N137" s="21">
        <v>45380</v>
      </c>
      <c r="O137" s="282" t="str">
        <f>IF(Tableau3384[[#This Row],[Date du paiement]]&gt;0,"",Tableau3384[[#This Row],[Montant
CHF]])</f>
        <v/>
      </c>
      <c r="P137" s="276" t="str">
        <f>IF(Tableau3384[[#This Row],[Date du paiement]]="",$B$4-Tableau3384[[#This Row],[Écheance]],"")</f>
        <v/>
      </c>
      <c r="Q137" s="168" t="str">
        <f>IF(Tableau3384[[#This Row],[Date du paiement]]="",IF(Tableau3384[[#This Row],[jours jusqu''à l''écheance]]&gt;0,Tableau3384[[#This Row],[Montant
CHF]],""),"")</f>
        <v/>
      </c>
      <c r="R137" s="298" t="str">
        <f>IF(Tableau3384[[#This Row],[Date du paiement]]="",IF(Tableau3384[[#This Row],[jours jusqu''à l''écheance]]-($B$4-$B$11-1)&gt;0,Tableau3384[[#This Row],[Montant
CHF]],""),"")</f>
        <v/>
      </c>
      <c r="S137" s="142"/>
      <c r="T137" s="95" t="str">
        <f>IF(Tableau3384[[#This Row],[Paiements prevus]]="oui",Tableau3384[[#This Row],[Montant prevu à payer CH]],"")</f>
        <v/>
      </c>
      <c r="U137" s="129"/>
      <c r="V137" s="73"/>
      <c r="W137" s="68"/>
      <c r="X137" s="23">
        <v>45391</v>
      </c>
      <c r="Y137" s="7" t="s">
        <v>58</v>
      </c>
      <c r="Z137" s="120" t="str">
        <f>IF(Tableau3384[[#This Row],[Méthode du paiement]]="Mastercard","OUI","")</f>
        <v/>
      </c>
      <c r="AA137" s="6" t="s">
        <v>14</v>
      </c>
      <c r="AB137" s="6" t="s">
        <v>153</v>
      </c>
    </row>
    <row r="138" spans="1:28" hidden="1" x14ac:dyDescent="0.25">
      <c r="A138" s="9" t="s">
        <v>407</v>
      </c>
      <c r="B138" s="21">
        <v>45351</v>
      </c>
      <c r="C138" s="21">
        <v>45351</v>
      </c>
      <c r="D138" s="22" t="s">
        <v>94</v>
      </c>
      <c r="E138" s="11">
        <v>532.07000000000005</v>
      </c>
      <c r="F138" s="88">
        <v>8.1</v>
      </c>
      <c r="G138" s="80"/>
      <c r="H138" s="136">
        <f>Tableau3384[[#This Row],[Montant
CHF]]+Tableau3384[[#This Row],[Abzug/Spesen
CHF]]</f>
        <v>532.07000000000005</v>
      </c>
      <c r="I138" s="39"/>
      <c r="J138" s="40"/>
      <c r="K138" s="189"/>
      <c r="L138" s="298"/>
      <c r="M138" s="81"/>
      <c r="N138" s="21">
        <v>45382</v>
      </c>
      <c r="O138" s="282" t="str">
        <f>IF(Tableau3384[[#This Row],[Date du paiement]]&gt;0,"",Tableau3384[[#This Row],[Montant
CHF]])</f>
        <v/>
      </c>
      <c r="P138" s="276" t="str">
        <f>IF(Tableau3384[[#This Row],[Date du paiement]]="",$B$4-Tableau3384[[#This Row],[Écheance]],"")</f>
        <v/>
      </c>
      <c r="Q138" s="168" t="str">
        <f>IF(Tableau3384[[#This Row],[Date du paiement]]="",IF(Tableau3384[[#This Row],[jours jusqu''à l''écheance]]&gt;0,Tableau3384[[#This Row],[Montant
CHF]],""),"")</f>
        <v/>
      </c>
      <c r="R138" s="298" t="str">
        <f>IF(Tableau3384[[#This Row],[Date du paiement]]="",IF(Tableau3384[[#This Row],[jours jusqu''à l''écheance]]-($B$4-$B$11-1)&gt;0,Tableau3384[[#This Row],[Montant
CHF]],""),"")</f>
        <v/>
      </c>
      <c r="S138" s="142"/>
      <c r="T138" s="95" t="str">
        <f>IF(Tableau3384[[#This Row],[Paiements prevus]]="oui",Tableau3384[[#This Row],[Montant prevu à payer CH]],"")</f>
        <v/>
      </c>
      <c r="U138" s="129"/>
      <c r="V138" s="73"/>
      <c r="W138" s="68"/>
      <c r="X138" s="23">
        <v>45394</v>
      </c>
      <c r="Y138" s="7" t="s">
        <v>58</v>
      </c>
      <c r="Z138" s="120" t="str">
        <f>IF(Tableau3384[[#This Row],[Méthode du paiement]]="Mastercard","OUI","")</f>
        <v/>
      </c>
      <c r="AA138" s="6" t="s">
        <v>96</v>
      </c>
      <c r="AB138" s="6" t="s">
        <v>408</v>
      </c>
    </row>
    <row r="139" spans="1:28" hidden="1" x14ac:dyDescent="0.25">
      <c r="A139" s="9" t="s">
        <v>174</v>
      </c>
      <c r="B139" s="21">
        <v>45351</v>
      </c>
      <c r="C139" s="21">
        <v>45351</v>
      </c>
      <c r="D139" s="22" t="s">
        <v>171</v>
      </c>
      <c r="E139" s="11">
        <v>5296.73</v>
      </c>
      <c r="F139" s="88">
        <v>8.1</v>
      </c>
      <c r="G139" s="80"/>
      <c r="H139" s="136">
        <f>Tableau3384[[#This Row],[Montant
CHF]]+Tableau3384[[#This Row],[Abzug/Spesen
CHF]]</f>
        <v>5296.73</v>
      </c>
      <c r="I139" s="39"/>
      <c r="J139" s="40"/>
      <c r="K139" s="189"/>
      <c r="L139" s="298"/>
      <c r="M139" s="78" t="s">
        <v>175</v>
      </c>
      <c r="N139" s="21">
        <v>45412</v>
      </c>
      <c r="O139" s="282" t="str">
        <f>IF(Tableau3384[[#This Row],[Date du paiement]]&gt;0,"",Tableau3384[[#This Row],[Montant
CHF]])</f>
        <v/>
      </c>
      <c r="P139" s="276" t="str">
        <f>IF(Tableau3384[[#This Row],[Date du paiement]]="",$B$4-Tableau3384[[#This Row],[Écheance]],"")</f>
        <v/>
      </c>
      <c r="Q139" s="168" t="str">
        <f>IF(Tableau3384[[#This Row],[Date du paiement]]="",IF(Tableau3384[[#This Row],[jours jusqu''à l''écheance]]&gt;0,Tableau3384[[#This Row],[Montant
CHF]],""),"")</f>
        <v/>
      </c>
      <c r="R139" s="298" t="str">
        <f>IF(Tableau3384[[#This Row],[Date du paiement]]="",IF(Tableau3384[[#This Row],[jours jusqu''à l''écheance]]-($B$4-$B$11-1)&gt;0,Tableau3384[[#This Row],[Montant
CHF]],""),"")</f>
        <v/>
      </c>
      <c r="S139" s="142"/>
      <c r="T139" s="95" t="str">
        <f>IF(Tableau3384[[#This Row],[Paiements prevus]]="oui",Tableau3384[[#This Row],[Montant prevu à payer CH]],"")</f>
        <v/>
      </c>
      <c r="U139" s="129"/>
      <c r="V139" s="73"/>
      <c r="W139" s="68"/>
      <c r="X139" s="23">
        <v>45412</v>
      </c>
      <c r="Y139" s="7" t="s">
        <v>58</v>
      </c>
      <c r="Z139" s="120" t="str">
        <f>IF(Tableau3384[[#This Row],[Méthode du paiement]]="Mastercard","OUI","")</f>
        <v/>
      </c>
      <c r="AA139" s="6" t="s">
        <v>4</v>
      </c>
      <c r="AB139" s="6" t="s">
        <v>176</v>
      </c>
    </row>
    <row r="140" spans="1:28" hidden="1" x14ac:dyDescent="0.25">
      <c r="A140" s="9" t="s">
        <v>244</v>
      </c>
      <c r="B140" s="21">
        <v>45351</v>
      </c>
      <c r="C140" s="21">
        <v>45356</v>
      </c>
      <c r="D140" s="22" t="s">
        <v>245</v>
      </c>
      <c r="E140" s="11">
        <f>Tableau3384[[#This Row],[Montant
EUR]]*Tableau3384[[#This Row],[Taux 
de change]]</f>
        <v>472.10999042999998</v>
      </c>
      <c r="F140" s="88">
        <v>0</v>
      </c>
      <c r="G140" s="80"/>
      <c r="H140" s="136">
        <f>Tableau3384[[#This Row],[Montant
CHF]]+Tableau3384[[#This Row],[Abzug/Spesen
CHF]]</f>
        <v>472.10999042999998</v>
      </c>
      <c r="I140" s="39">
        <v>0.98352150000000005</v>
      </c>
      <c r="J140" s="40">
        <v>480.02</v>
      </c>
      <c r="K140" s="189"/>
      <c r="L140" s="298"/>
      <c r="M140" s="81"/>
      <c r="N140" s="21">
        <v>45381</v>
      </c>
      <c r="O140" s="282" t="str">
        <f>IF(Tableau3384[[#This Row],[Date du paiement]]&gt;0,"",Tableau3384[[#This Row],[Montant
CHF]])</f>
        <v/>
      </c>
      <c r="P140" s="276" t="str">
        <f>IF(Tableau3384[[#This Row],[Date du paiement]]="",$B$4-Tableau3384[[#This Row],[Écheance]],"")</f>
        <v/>
      </c>
      <c r="Q140" s="168" t="str">
        <f>IF(Tableau3384[[#This Row],[Date du paiement]]="",IF(Tableau3384[[#This Row],[jours jusqu''à l''écheance]]&gt;0,Tableau3384[[#This Row],[Montant
CHF]],""),"")</f>
        <v/>
      </c>
      <c r="R140" s="298" t="str">
        <f>IF(Tableau3384[[#This Row],[Date du paiement]]="",IF(Tableau3384[[#This Row],[jours jusqu''à l''écheance]]-($B$4-$B$11-1)&gt;0,Tableau3384[[#This Row],[Montant
CHF]],""),"")</f>
        <v/>
      </c>
      <c r="S140" s="142"/>
      <c r="T140" s="95" t="str">
        <f>IF(Tableau3384[[#This Row],[Paiements prevus]]="oui",Tableau3384[[#This Row],[Montant prevu à payer CH]],"")</f>
        <v/>
      </c>
      <c r="U140" s="129"/>
      <c r="V140" s="73"/>
      <c r="W140" s="68"/>
      <c r="X140" s="23">
        <v>45386</v>
      </c>
      <c r="Y140" s="7" t="s">
        <v>58</v>
      </c>
      <c r="Z140" s="120" t="str">
        <f>IF(Tableau3384[[#This Row],[Méthode du paiement]]="Mastercard","OUI","")</f>
        <v/>
      </c>
      <c r="AA140" s="6" t="s">
        <v>11</v>
      </c>
      <c r="AB140" s="6" t="s">
        <v>246</v>
      </c>
    </row>
    <row r="141" spans="1:28" hidden="1" x14ac:dyDescent="0.25">
      <c r="A141" s="9" t="s">
        <v>303</v>
      </c>
      <c r="B141" s="21">
        <v>45351</v>
      </c>
      <c r="C141" s="21">
        <v>45363</v>
      </c>
      <c r="D141" s="22" t="s">
        <v>162</v>
      </c>
      <c r="E141" s="11">
        <v>103.35</v>
      </c>
      <c r="F141" s="88">
        <v>8.1</v>
      </c>
      <c r="G141" s="80"/>
      <c r="H141" s="136">
        <f>Tableau3384[[#This Row],[Montant
CHF]]+Tableau3384[[#This Row],[Abzug/Spesen
CHF]]</f>
        <v>103.35</v>
      </c>
      <c r="I141" s="39"/>
      <c r="J141" s="40"/>
      <c r="K141" s="189"/>
      <c r="L141" s="298"/>
      <c r="M141" s="194"/>
      <c r="N141" s="21">
        <v>45381</v>
      </c>
      <c r="O141" s="282" t="str">
        <f>IF(Tableau3384[[#This Row],[Date du paiement]]&gt;0,"",Tableau3384[[#This Row],[Montant
CHF]])</f>
        <v/>
      </c>
      <c r="P141" s="276" t="str">
        <f>IF(Tableau3384[[#This Row],[Date du paiement]]="",$B$4-Tableau3384[[#This Row],[Écheance]],"")</f>
        <v/>
      </c>
      <c r="Q141" s="168" t="str">
        <f>IF(Tableau3384[[#This Row],[Date du paiement]]="",IF(Tableau3384[[#This Row],[jours jusqu''à l''écheance]]&gt;0,Tableau3384[[#This Row],[Montant
CHF]],""),"")</f>
        <v/>
      </c>
      <c r="R141" s="298" t="str">
        <f>IF(Tableau3384[[#This Row],[Date du paiement]]="",IF(Tableau3384[[#This Row],[jours jusqu''à l''écheance]]-($B$4-$B$11-1)&gt;0,Tableau3384[[#This Row],[Montant
CHF]],""),"")</f>
        <v/>
      </c>
      <c r="S141" s="142"/>
      <c r="T141" s="95" t="str">
        <f>IF(Tableau3384[[#This Row],[Paiements prevus]]="oui",Tableau3384[[#This Row],[Montant prevu à payer CH]],"")</f>
        <v/>
      </c>
      <c r="U141" s="129"/>
      <c r="V141" s="73"/>
      <c r="W141" s="68"/>
      <c r="X141" s="23">
        <v>45386</v>
      </c>
      <c r="Y141" s="7" t="s">
        <v>58</v>
      </c>
      <c r="Z141" s="120" t="str">
        <f>IF(Tableau3384[[#This Row],[Méthode du paiement]]="Mastercard","OUI","")</f>
        <v/>
      </c>
      <c r="AA141" s="6" t="s">
        <v>43</v>
      </c>
      <c r="AB141" s="6" t="s">
        <v>99</v>
      </c>
    </row>
    <row r="142" spans="1:28" hidden="1" x14ac:dyDescent="0.25">
      <c r="A142" s="9">
        <v>214112</v>
      </c>
      <c r="B142" s="21">
        <v>45352</v>
      </c>
      <c r="C142" s="21">
        <v>45292</v>
      </c>
      <c r="D142" s="22" t="s">
        <v>7</v>
      </c>
      <c r="E142" s="11">
        <v>11516</v>
      </c>
      <c r="F142" s="88">
        <v>0</v>
      </c>
      <c r="G142" s="80"/>
      <c r="H142" s="136">
        <f>Tableau3384[[#This Row],[Montant
CHF]]+Tableau3384[[#This Row],[Abzug/Spesen
CHF]]</f>
        <v>11516</v>
      </c>
      <c r="I142" s="39"/>
      <c r="J142" s="40"/>
      <c r="K142" s="189"/>
      <c r="L142" s="298"/>
      <c r="M142" s="81"/>
      <c r="N142" s="21">
        <v>45352</v>
      </c>
      <c r="O142" s="282" t="str">
        <f>IF(Tableau3384[[#This Row],[Date du paiement]]&gt;0,"",Tableau3384[[#This Row],[Montant
CHF]])</f>
        <v/>
      </c>
      <c r="P142" s="276" t="str">
        <f>IF(Tableau3384[[#This Row],[Date du paiement]]="",$B$4-Tableau3384[[#This Row],[Écheance]],"")</f>
        <v/>
      </c>
      <c r="Q142" s="168" t="str">
        <f>IF(Tableau3384[[#This Row],[Date du paiement]]="",IF(Tableau3384[[#This Row],[jours jusqu''à l''écheance]]&gt;0,Tableau3384[[#This Row],[Montant
CHF]],""),"")</f>
        <v/>
      </c>
      <c r="R142" s="298" t="str">
        <f>IF(Tableau3384[[#This Row],[Date du paiement]]="",IF(Tableau3384[[#This Row],[jours jusqu''à l''écheance]]-($B$4-$B$11-1)&gt;0,Tableau3384[[#This Row],[Montant
CHF]],""),"")</f>
        <v/>
      </c>
      <c r="S142" s="142"/>
      <c r="T142" s="95" t="str">
        <f>IF(Tableau3384[[#This Row],[Paiements prevus]]="oui",Tableau3384[[#This Row],[Montant prevu à payer CH]],"")</f>
        <v/>
      </c>
      <c r="U142" s="129"/>
      <c r="V142" s="73"/>
      <c r="W142" s="68"/>
      <c r="X142" s="23">
        <v>45352</v>
      </c>
      <c r="Y142" s="7" t="s">
        <v>58</v>
      </c>
      <c r="Z142" s="120" t="str">
        <f>IF(Tableau3384[[#This Row],[Méthode du paiement]]="Mastercard","OUI","")</f>
        <v/>
      </c>
      <c r="AA142" s="6" t="s">
        <v>6</v>
      </c>
      <c r="AB142" s="6" t="s">
        <v>181</v>
      </c>
    </row>
    <row r="143" spans="1:28" hidden="1" x14ac:dyDescent="0.25">
      <c r="A143" s="9">
        <v>1245742</v>
      </c>
      <c r="B143" s="21">
        <v>45352</v>
      </c>
      <c r="C143" s="21">
        <v>45292</v>
      </c>
      <c r="D143" s="22" t="s">
        <v>2</v>
      </c>
      <c r="E143" s="11">
        <v>1523.55</v>
      </c>
      <c r="F143" s="88">
        <v>8.1</v>
      </c>
      <c r="G143" s="80"/>
      <c r="H143" s="136">
        <f>Tableau3384[[#This Row],[Montant
CHF]]+Tableau3384[[#This Row],[Abzug/Spesen
CHF]]</f>
        <v>1523.55</v>
      </c>
      <c r="I143" s="39"/>
      <c r="J143" s="40"/>
      <c r="K143" s="189"/>
      <c r="L143" s="298"/>
      <c r="M143" s="81"/>
      <c r="N143" s="21">
        <v>45352</v>
      </c>
      <c r="O143" s="282" t="str">
        <f>IF(Tableau3384[[#This Row],[Date du paiement]]&gt;0,"",Tableau3384[[#This Row],[Montant
CHF]])</f>
        <v/>
      </c>
      <c r="P143" s="276" t="str">
        <f>IF(Tableau3384[[#This Row],[Date du paiement]]="",$B$4-Tableau3384[[#This Row],[Écheance]],"")</f>
        <v/>
      </c>
      <c r="Q143" s="168" t="str">
        <f>IF(Tableau3384[[#This Row],[Date du paiement]]="",IF(Tableau3384[[#This Row],[jours jusqu''à l''écheance]]&gt;0,Tableau3384[[#This Row],[Montant
CHF]],""),"")</f>
        <v/>
      </c>
      <c r="R143" s="298" t="str">
        <f>IF(Tableau3384[[#This Row],[Date du paiement]]="",IF(Tableau3384[[#This Row],[jours jusqu''à l''écheance]]-($B$4-$B$11-1)&gt;0,Tableau3384[[#This Row],[Montant
CHF]],""),"")</f>
        <v/>
      </c>
      <c r="S143" s="142"/>
      <c r="T143" s="95" t="str">
        <f>IF(Tableau3384[[#This Row],[Paiements prevus]]="oui",Tableau3384[[#This Row],[Montant prevu à payer CH]],"")</f>
        <v/>
      </c>
      <c r="U143" s="129"/>
      <c r="V143" s="73"/>
      <c r="W143" s="68"/>
      <c r="X143" s="23">
        <v>45355</v>
      </c>
      <c r="Y143" s="7" t="s">
        <v>58</v>
      </c>
      <c r="Z143" s="120" t="str">
        <f>IF(Tableau3384[[#This Row],[Méthode du paiement]]="Mastercard","OUI","")</f>
        <v/>
      </c>
      <c r="AA143" s="6" t="s">
        <v>1162</v>
      </c>
      <c r="AB143" s="6" t="s">
        <v>181</v>
      </c>
    </row>
    <row r="144" spans="1:28" hidden="1" x14ac:dyDescent="0.25">
      <c r="A144" s="13" t="s">
        <v>632</v>
      </c>
      <c r="B144" s="21">
        <v>45352</v>
      </c>
      <c r="C144" s="21">
        <v>45292</v>
      </c>
      <c r="D144" s="22" t="s">
        <v>3</v>
      </c>
      <c r="E144" s="11">
        <v>3438</v>
      </c>
      <c r="F144" s="88">
        <v>0</v>
      </c>
      <c r="G144" s="80"/>
      <c r="H144" s="136">
        <f>Tableau3384[[#This Row],[Montant
CHF]]+Tableau3384[[#This Row],[Abzug/Spesen
CHF]]</f>
        <v>3438</v>
      </c>
      <c r="I144" s="39"/>
      <c r="J144" s="40"/>
      <c r="K144" s="189"/>
      <c r="L144" s="298"/>
      <c r="M144" s="81"/>
      <c r="N144" s="21">
        <v>45352</v>
      </c>
      <c r="O144" s="282" t="str">
        <f>IF(Tableau3384[[#This Row],[Date du paiement]]&gt;0,"",Tableau3384[[#This Row],[Montant
CHF]])</f>
        <v/>
      </c>
      <c r="P144" s="276" t="str">
        <f>IF(Tableau3384[[#This Row],[Date du paiement]]="",$B$4-Tableau3384[[#This Row],[Écheance]],"")</f>
        <v/>
      </c>
      <c r="Q144" s="168" t="str">
        <f>IF(Tableau3384[[#This Row],[Date du paiement]]="",IF(Tableau3384[[#This Row],[jours jusqu''à l''écheance]]&gt;0,Tableau3384[[#This Row],[Montant
CHF]],""),"")</f>
        <v/>
      </c>
      <c r="R144" s="298" t="str">
        <f>IF(Tableau3384[[#This Row],[Date du paiement]]="",IF(Tableau3384[[#This Row],[jours jusqu''à l''écheance]]-($B$4-$B$11-1)&gt;0,Tableau3384[[#This Row],[Montant
CHF]],""),"")</f>
        <v/>
      </c>
      <c r="S144" s="142"/>
      <c r="T144" s="95" t="str">
        <f>IF(Tableau3384[[#This Row],[Paiements prevus]]="oui",Tableau3384[[#This Row],[Montant prevu à payer CH]],"")</f>
        <v/>
      </c>
      <c r="U144" s="176"/>
      <c r="V144" s="192"/>
      <c r="W144" s="190"/>
      <c r="X144" s="23">
        <v>45384</v>
      </c>
      <c r="Y144" s="7" t="s">
        <v>58</v>
      </c>
      <c r="Z144" s="120" t="str">
        <f>IF(Tableau3384[[#This Row],[Méthode du paiement]]="Mastercard","OUI","")</f>
        <v/>
      </c>
      <c r="AA144" s="6" t="s">
        <v>6</v>
      </c>
      <c r="AB144" s="6" t="s">
        <v>181</v>
      </c>
    </row>
    <row r="145" spans="1:28" hidden="1" x14ac:dyDescent="0.25">
      <c r="A145" s="182" t="s">
        <v>396</v>
      </c>
      <c r="B145" s="21">
        <v>45352</v>
      </c>
      <c r="C145" s="21">
        <v>45352</v>
      </c>
      <c r="D145" s="22" t="s">
        <v>220</v>
      </c>
      <c r="E145" s="11">
        <v>34964</v>
      </c>
      <c r="F145" s="88">
        <v>8.1</v>
      </c>
      <c r="G145" s="80"/>
      <c r="H145" s="136">
        <f>Tableau3384[[#This Row],[Montant
CHF]]+Tableau3384[[#This Row],[Abzug/Spesen
CHF]]</f>
        <v>34964</v>
      </c>
      <c r="I145" s="39"/>
      <c r="J145" s="40"/>
      <c r="K145" s="189"/>
      <c r="L145" s="298"/>
      <c r="M145" s="81"/>
      <c r="N145" s="21">
        <v>45383</v>
      </c>
      <c r="O145" s="286" t="str">
        <f>IF(Tableau3384[[#This Row],[Date du paiement]]&gt;0,"",Tableau3384[[#This Row],[Montant
CHF]])</f>
        <v/>
      </c>
      <c r="P145" s="276" t="str">
        <f>IF(Tableau3384[[#This Row],[Date du paiement]]="",$B$4-Tableau3384[[#This Row],[Écheance]],"")</f>
        <v/>
      </c>
      <c r="Q145" s="168" t="str">
        <f>IF(Tableau3384[[#This Row],[Date du paiement]]="",IF(Tableau3384[[#This Row],[jours jusqu''à l''écheance]]&gt;0,Tableau3384[[#This Row],[Montant
CHF]],""),"")</f>
        <v/>
      </c>
      <c r="R145" s="298" t="str">
        <f>IF(Tableau3384[[#This Row],[Date du paiement]]="",IF(Tableau3384[[#This Row],[jours jusqu''à l''écheance]]-($B$4-$B$11-1)&gt;0,Tableau3384[[#This Row],[Montant
CHF]],""),"")</f>
        <v/>
      </c>
      <c r="S145" s="143"/>
      <c r="T145" s="95" t="str">
        <f>IF(Tableau3384[[#This Row],[Paiements prevus]]="oui",Tableau3384[[#This Row],[Montant prevu à payer CH]],"")</f>
        <v/>
      </c>
      <c r="U145" s="131"/>
      <c r="V145" s="74"/>
      <c r="W145" s="69"/>
      <c r="X145" s="23">
        <v>45379</v>
      </c>
      <c r="Y145" s="7" t="s">
        <v>345</v>
      </c>
      <c r="Z145" s="120" t="str">
        <f>IF(Tableau3384[[#This Row],[Méthode du paiement]]="Mastercard","OUI","")</f>
        <v/>
      </c>
      <c r="AA145" s="6" t="s">
        <v>221</v>
      </c>
      <c r="AB145" s="6" t="s">
        <v>99</v>
      </c>
    </row>
    <row r="146" spans="1:28" hidden="1" x14ac:dyDescent="0.25">
      <c r="A146" s="9" t="s">
        <v>207</v>
      </c>
      <c r="B146" s="21">
        <v>45352</v>
      </c>
      <c r="C146" s="21">
        <v>45352</v>
      </c>
      <c r="D146" s="22" t="s">
        <v>46</v>
      </c>
      <c r="E146" s="11">
        <v>597.79</v>
      </c>
      <c r="F146" s="88">
        <v>8.1</v>
      </c>
      <c r="G146" s="80"/>
      <c r="H146" s="136">
        <f>Tableau3384[[#This Row],[Montant
CHF]]+Tableau3384[[#This Row],[Abzug/Spesen
CHF]]</f>
        <v>597.79</v>
      </c>
      <c r="I146" s="39"/>
      <c r="J146" s="40"/>
      <c r="K146" s="189"/>
      <c r="L146" s="298"/>
      <c r="M146" s="81"/>
      <c r="N146" s="21">
        <v>45382</v>
      </c>
      <c r="O146" s="282" t="str">
        <f>IF(Tableau3384[[#This Row],[Date du paiement]]&gt;0,"",Tableau3384[[#This Row],[Montant
CHF]])</f>
        <v/>
      </c>
      <c r="P146" s="276" t="str">
        <f>IF(Tableau3384[[#This Row],[Date du paiement]]="",$B$4-Tableau3384[[#This Row],[Écheance]],"")</f>
        <v/>
      </c>
      <c r="Q146" s="168" t="str">
        <f>IF(Tableau3384[[#This Row],[Date du paiement]]="",IF(Tableau3384[[#This Row],[jours jusqu''à l''écheance]]&gt;0,Tableau3384[[#This Row],[Montant
CHF]],""),"")</f>
        <v/>
      </c>
      <c r="R146" s="298" t="str">
        <f>IF(Tableau3384[[#This Row],[Date du paiement]]="",IF(Tableau3384[[#This Row],[jours jusqu''à l''écheance]]-($B$4-$B$11-1)&gt;0,Tableau3384[[#This Row],[Montant
CHF]],""),"")</f>
        <v/>
      </c>
      <c r="S146" s="142"/>
      <c r="T146" s="95" t="str">
        <f>IF(Tableau3384[[#This Row],[Paiements prevus]]="oui",Tableau3384[[#This Row],[Montant prevu à payer CH]],"")</f>
        <v/>
      </c>
      <c r="U146" s="129"/>
      <c r="V146" s="73"/>
      <c r="W146" s="68"/>
      <c r="X146" s="23">
        <v>45386</v>
      </c>
      <c r="Y146" s="7" t="s">
        <v>58</v>
      </c>
      <c r="Z146" s="120" t="str">
        <f>IF(Tableau3384[[#This Row],[Méthode du paiement]]="Mastercard","OUI","")</f>
        <v/>
      </c>
      <c r="AA146" s="6" t="s">
        <v>30</v>
      </c>
      <c r="AB146" s="6" t="s">
        <v>181</v>
      </c>
    </row>
    <row r="147" spans="1:28" hidden="1" x14ac:dyDescent="0.25">
      <c r="A147" s="9" t="s">
        <v>129</v>
      </c>
      <c r="B147" s="21">
        <v>45352</v>
      </c>
      <c r="C147" s="21">
        <v>45357</v>
      </c>
      <c r="D147" s="22" t="s">
        <v>87</v>
      </c>
      <c r="E147" s="11">
        <v>2023.85</v>
      </c>
      <c r="F147" s="88">
        <v>0</v>
      </c>
      <c r="G147" s="80"/>
      <c r="H147" s="136">
        <f>Tableau3384[[#This Row],[Montant
CHF]]+Tableau3384[[#This Row],[Abzug/Spesen
CHF]]</f>
        <v>2023.85</v>
      </c>
      <c r="I147" s="39"/>
      <c r="J147" s="40"/>
      <c r="K147" s="189"/>
      <c r="L147" s="298"/>
      <c r="M147" s="81"/>
      <c r="N147" s="21">
        <v>45352</v>
      </c>
      <c r="O147" s="282" t="str">
        <f>IF(Tableau3384[[#This Row],[Date du paiement]]&gt;0,"",Tableau3384[[#This Row],[Montant
CHF]])</f>
        <v/>
      </c>
      <c r="P147" s="276" t="str">
        <f>IF(Tableau3384[[#This Row],[Date du paiement]]="",$B$4-Tableau3384[[#This Row],[Écheance]],"")</f>
        <v/>
      </c>
      <c r="Q147" s="168" t="str">
        <f>IF(Tableau3384[[#This Row],[Date du paiement]]="",IF(Tableau3384[[#This Row],[jours jusqu''à l''écheance]]&gt;0,Tableau3384[[#This Row],[Montant
CHF]],""),"")</f>
        <v/>
      </c>
      <c r="R147" s="298" t="str">
        <f>IF(Tableau3384[[#This Row],[Date du paiement]]="",IF(Tableau3384[[#This Row],[jours jusqu''à l''écheance]]-($B$4-$B$11-1)&gt;0,Tableau3384[[#This Row],[Montant
CHF]],""),"")</f>
        <v/>
      </c>
      <c r="S147" s="142"/>
      <c r="T147" s="95" t="str">
        <f>IF(Tableau3384[[#This Row],[Paiements prevus]]="oui",Tableau3384[[#This Row],[Montant prevu à payer CH]],"")</f>
        <v/>
      </c>
      <c r="U147" s="129"/>
      <c r="V147" s="73"/>
      <c r="W147" s="68"/>
      <c r="X147" s="23">
        <v>45391</v>
      </c>
      <c r="Y147" s="7" t="s">
        <v>58</v>
      </c>
      <c r="Z147" s="120" t="str">
        <f>IF(Tableau3384[[#This Row],[Méthode du paiement]]="Mastercard","OUI","")</f>
        <v/>
      </c>
      <c r="AA147" s="6" t="s">
        <v>4</v>
      </c>
      <c r="AB147" s="6" t="s">
        <v>181</v>
      </c>
    </row>
    <row r="148" spans="1:28" hidden="1" x14ac:dyDescent="0.25">
      <c r="A148" s="9" t="s">
        <v>225</v>
      </c>
      <c r="B148" s="21">
        <v>45352</v>
      </c>
      <c r="C148" s="21">
        <v>45362</v>
      </c>
      <c r="D148" s="22" t="s">
        <v>130</v>
      </c>
      <c r="E148" s="11">
        <v>70.25</v>
      </c>
      <c r="F148" s="88">
        <v>8.1</v>
      </c>
      <c r="G148" s="80"/>
      <c r="H148" s="136">
        <f>Tableau3384[[#This Row],[Montant
CHF]]+Tableau3384[[#This Row],[Abzug/Spesen
CHF]]</f>
        <v>70.25</v>
      </c>
      <c r="I148" s="39"/>
      <c r="J148" s="40"/>
      <c r="K148" s="189"/>
      <c r="L148" s="298"/>
      <c r="M148" s="81"/>
      <c r="N148" s="21">
        <v>45381</v>
      </c>
      <c r="O148" s="282" t="str">
        <f>IF(Tableau3384[[#This Row],[Date du paiement]]&gt;0,"",Tableau3384[[#This Row],[Montant
CHF]])</f>
        <v/>
      </c>
      <c r="P148" s="276" t="str">
        <f>IF(Tableau3384[[#This Row],[Date du paiement]]="",$B$4-Tableau3384[[#This Row],[Écheance]],"")</f>
        <v/>
      </c>
      <c r="Q148" s="168" t="str">
        <f>IF(Tableau3384[[#This Row],[Date du paiement]]="",IF(Tableau3384[[#This Row],[jours jusqu''à l''écheance]]&gt;0,Tableau3384[[#This Row],[Montant
CHF]],""),"")</f>
        <v/>
      </c>
      <c r="R148" s="298" t="str">
        <f>IF(Tableau3384[[#This Row],[Date du paiement]]="",IF(Tableau3384[[#This Row],[jours jusqu''à l''écheance]]-($B$4-$B$11-1)&gt;0,Tableau3384[[#This Row],[Montant
CHF]],""),"")</f>
        <v/>
      </c>
      <c r="S148" s="142"/>
      <c r="T148" s="95" t="str">
        <f>IF(Tableau3384[[#This Row],[Paiements prevus]]="oui",Tableau3384[[#This Row],[Montant prevu à payer CH]],"")</f>
        <v/>
      </c>
      <c r="U148" s="129"/>
      <c r="V148" s="73"/>
      <c r="W148" s="68"/>
      <c r="X148" s="23">
        <v>45386</v>
      </c>
      <c r="Y148" s="7" t="s">
        <v>58</v>
      </c>
      <c r="Z148" s="120" t="str">
        <f>IF(Tableau3384[[#This Row],[Méthode du paiement]]="Mastercard","OUI","")</f>
        <v/>
      </c>
      <c r="AA148" s="6" t="s">
        <v>30</v>
      </c>
      <c r="AB148" s="6" t="s">
        <v>99</v>
      </c>
    </row>
    <row r="149" spans="1:28" hidden="1" x14ac:dyDescent="0.25">
      <c r="A149" s="9" t="s">
        <v>291</v>
      </c>
      <c r="B149" s="21">
        <v>45352</v>
      </c>
      <c r="C149" s="21">
        <v>45366</v>
      </c>
      <c r="D149" s="22" t="s">
        <v>10</v>
      </c>
      <c r="E149" s="11">
        <v>1056.5999999999999</v>
      </c>
      <c r="F149" s="88">
        <v>8.1</v>
      </c>
      <c r="G149" s="80"/>
      <c r="H149" s="136">
        <f>Tableau3384[[#This Row],[Montant
CHF]]+Tableau3384[[#This Row],[Abzug/Spesen
CHF]]</f>
        <v>1056.5999999999999</v>
      </c>
      <c r="I149" s="39"/>
      <c r="J149" s="40"/>
      <c r="K149" s="189"/>
      <c r="L149" s="298"/>
      <c r="M149" s="81"/>
      <c r="N149" s="21">
        <v>45383</v>
      </c>
      <c r="O149" s="282" t="str">
        <f>IF(Tableau3384[[#This Row],[Date du paiement]]&gt;0,"",Tableau3384[[#This Row],[Montant
CHF]])</f>
        <v/>
      </c>
      <c r="P149" s="276" t="str">
        <f>IF(Tableau3384[[#This Row],[Date du paiement]]="",$B$4-Tableau3384[[#This Row],[Écheance]],"")</f>
        <v/>
      </c>
      <c r="Q149" s="168" t="str">
        <f>IF(Tableau3384[[#This Row],[Date du paiement]]="",IF(Tableau3384[[#This Row],[jours jusqu''à l''écheance]]&gt;0,Tableau3384[[#This Row],[Montant
CHF]],""),"")</f>
        <v/>
      </c>
      <c r="R149" s="298" t="str">
        <f>IF(Tableau3384[[#This Row],[Date du paiement]]="",IF(Tableau3384[[#This Row],[jours jusqu''à l''écheance]]-($B$4-$B$11-1)&gt;0,Tableau3384[[#This Row],[Montant
CHF]],""),"")</f>
        <v/>
      </c>
      <c r="S149" s="142"/>
      <c r="T149" s="95" t="str">
        <f>IF(Tableau3384[[#This Row],[Paiements prevus]]="oui",Tableau3384[[#This Row],[Montant prevu à payer CH]],"")</f>
        <v/>
      </c>
      <c r="U149" s="129"/>
      <c r="V149" s="73"/>
      <c r="W149" s="68"/>
      <c r="X149" s="23">
        <v>45394</v>
      </c>
      <c r="Y149" s="7" t="s">
        <v>58</v>
      </c>
      <c r="Z149" s="120" t="str">
        <f>IF(Tableau3384[[#This Row],[Méthode du paiement]]="Mastercard","OUI","")</f>
        <v/>
      </c>
      <c r="AA149" s="6" t="s">
        <v>294</v>
      </c>
      <c r="AB149" s="6" t="s">
        <v>292</v>
      </c>
    </row>
    <row r="150" spans="1:28" hidden="1" x14ac:dyDescent="0.25">
      <c r="A150" s="9" t="s">
        <v>293</v>
      </c>
      <c r="B150" s="21">
        <v>45352</v>
      </c>
      <c r="C150" s="21">
        <v>45366</v>
      </c>
      <c r="D150" s="22" t="s">
        <v>10</v>
      </c>
      <c r="E150" s="11">
        <v>995.05</v>
      </c>
      <c r="F150" s="88">
        <v>8.1</v>
      </c>
      <c r="G150" s="80"/>
      <c r="H150" s="136">
        <f>Tableau3384[[#This Row],[Montant
CHF]]+Tableau3384[[#This Row],[Abzug/Spesen
CHF]]</f>
        <v>995.05</v>
      </c>
      <c r="I150" s="39"/>
      <c r="J150" s="40"/>
      <c r="K150" s="189"/>
      <c r="L150" s="298"/>
      <c r="M150" s="81"/>
      <c r="N150" s="21">
        <v>45383</v>
      </c>
      <c r="O150" s="282" t="str">
        <f>IF(Tableau3384[[#This Row],[Date du paiement]]&gt;0,"",Tableau3384[[#This Row],[Montant
CHF]])</f>
        <v/>
      </c>
      <c r="P150" s="276" t="str">
        <f>IF(Tableau3384[[#This Row],[Date du paiement]]="",$B$4-Tableau3384[[#This Row],[Écheance]],"")</f>
        <v/>
      </c>
      <c r="Q150" s="168" t="str">
        <f>IF(Tableau3384[[#This Row],[Date du paiement]]="",IF(Tableau3384[[#This Row],[jours jusqu''à l''écheance]]&gt;0,Tableau3384[[#This Row],[Montant
CHF]],""),"")</f>
        <v/>
      </c>
      <c r="R150" s="298" t="str">
        <f>IF(Tableau3384[[#This Row],[Date du paiement]]="",IF(Tableau3384[[#This Row],[jours jusqu''à l''écheance]]-($B$4-$B$11-1)&gt;0,Tableau3384[[#This Row],[Montant
CHF]],""),"")</f>
        <v/>
      </c>
      <c r="S150" s="142"/>
      <c r="T150" s="95" t="str">
        <f>IF(Tableau3384[[#This Row],[Paiements prevus]]="oui",Tableau3384[[#This Row],[Montant prevu à payer CH]],"")</f>
        <v/>
      </c>
      <c r="U150" s="129"/>
      <c r="V150" s="73"/>
      <c r="W150" s="68"/>
      <c r="X150" s="23">
        <v>45394</v>
      </c>
      <c r="Y150" s="7" t="s">
        <v>58</v>
      </c>
      <c r="Z150" s="120" t="str">
        <f>IF(Tableau3384[[#This Row],[Méthode du paiement]]="Mastercard","OUI","")</f>
        <v/>
      </c>
      <c r="AA150" s="6" t="s">
        <v>294</v>
      </c>
      <c r="AB150" s="6" t="s">
        <v>295</v>
      </c>
    </row>
    <row r="151" spans="1:28" hidden="1" x14ac:dyDescent="0.25">
      <c r="A151" s="9" t="s">
        <v>585</v>
      </c>
      <c r="B151" s="21">
        <v>45354</v>
      </c>
      <c r="C151" s="21">
        <v>45435</v>
      </c>
      <c r="D151" s="22" t="s">
        <v>48</v>
      </c>
      <c r="E151" s="11">
        <v>82.25</v>
      </c>
      <c r="F151" s="88">
        <v>8.1</v>
      </c>
      <c r="G151" s="80"/>
      <c r="H151" s="136">
        <f>Tableau3384[[#This Row],[Montant
CHF]]+Tableau3384[[#This Row],[Abzug/Spesen
CHF]]</f>
        <v>82.25</v>
      </c>
      <c r="I151" s="39"/>
      <c r="J151" s="40"/>
      <c r="K151" s="189"/>
      <c r="L151" s="298"/>
      <c r="M151" s="81"/>
      <c r="N151" s="21">
        <v>45374</v>
      </c>
      <c r="O151" s="282" t="str">
        <f>IF(Tableau3384[[#This Row],[Date du paiement]]&gt;0,"",Tableau3384[[#This Row],[Montant
CHF]])</f>
        <v/>
      </c>
      <c r="P151" s="276" t="str">
        <f>IF(Tableau3384[[#This Row],[Date du paiement]]="",$B$4-Tableau3384[[#This Row],[Écheance]],"")</f>
        <v/>
      </c>
      <c r="Q151" s="168" t="str">
        <f>IF(Tableau3384[[#This Row],[Date du paiement]]="",IF(Tableau3384[[#This Row],[jours jusqu''à l''écheance]]&gt;0,Tableau3384[[#This Row],[Montant
CHF]],""),"")</f>
        <v/>
      </c>
      <c r="R151" s="298" t="str">
        <f>IF(Tableau3384[[#This Row],[Date du paiement]]="",IF(Tableau3384[[#This Row],[jours jusqu''à l''écheance]]-($B$4-$B$11-1)&gt;0,Tableau3384[[#This Row],[Montant
CHF]],""),"")</f>
        <v/>
      </c>
      <c r="S151" s="142"/>
      <c r="T151" s="95" t="str">
        <f>IF(Tableau3384[[#This Row],[Paiements prevus]]="oui",Tableau3384[[#This Row],[Montant prevu à payer CH]],"")</f>
        <v/>
      </c>
      <c r="U151" s="129"/>
      <c r="V151" s="73"/>
      <c r="W151" s="68"/>
      <c r="X151" s="23">
        <v>45441</v>
      </c>
      <c r="Y151" s="7" t="s">
        <v>58</v>
      </c>
      <c r="Z151" s="120" t="str">
        <f>IF(Tableau3384[[#This Row],[Méthode du paiement]]="Mastercard","OUI","")</f>
        <v/>
      </c>
      <c r="AA151" s="6" t="s">
        <v>39</v>
      </c>
      <c r="AB151" s="6" t="s">
        <v>99</v>
      </c>
    </row>
    <row r="152" spans="1:28" hidden="1" x14ac:dyDescent="0.25">
      <c r="A152" s="9" t="s">
        <v>197</v>
      </c>
      <c r="B152" s="21">
        <v>45355</v>
      </c>
      <c r="C152" s="21">
        <v>45355</v>
      </c>
      <c r="D152" s="186" t="s">
        <v>196</v>
      </c>
      <c r="E152" s="11">
        <v>195.45</v>
      </c>
      <c r="F152" s="88">
        <v>8.1</v>
      </c>
      <c r="G152" s="80"/>
      <c r="H152" s="136">
        <f>Tableau3384[[#This Row],[Montant
CHF]]+Tableau3384[[#This Row],[Abzug/Spesen
CHF]]</f>
        <v>195.45</v>
      </c>
      <c r="I152" s="39"/>
      <c r="J152" s="40"/>
      <c r="K152" s="189"/>
      <c r="L152" s="298"/>
      <c r="M152" s="81"/>
      <c r="N152" s="21">
        <v>45365</v>
      </c>
      <c r="O152" s="282" t="str">
        <f>IF(Tableau3384[[#This Row],[Date du paiement]]&gt;0,"",Tableau3384[[#This Row],[Montant
CHF]])</f>
        <v/>
      </c>
      <c r="P152" s="276" t="str">
        <f>IF(Tableau3384[[#This Row],[Date du paiement]]="",$B$4-Tableau3384[[#This Row],[Écheance]],"")</f>
        <v/>
      </c>
      <c r="Q152" s="168" t="str">
        <f>IF(Tableau3384[[#This Row],[Date du paiement]]="",IF(Tableau3384[[#This Row],[jours jusqu''à l''écheance]]&gt;0,Tableau3384[[#This Row],[Montant
CHF]],""),"")</f>
        <v/>
      </c>
      <c r="R152" s="298" t="str">
        <f>IF(Tableau3384[[#This Row],[Date du paiement]]="",IF(Tableau3384[[#This Row],[jours jusqu''à l''écheance]]-($B$4-$B$11-1)&gt;0,Tableau3384[[#This Row],[Montant
CHF]],""),"")</f>
        <v/>
      </c>
      <c r="S152" s="142"/>
      <c r="T152" s="95" t="str">
        <f>IF(Tableau3384[[#This Row],[Paiements prevus]]="oui",Tableau3384[[#This Row],[Montant prevu à payer CH]],"")</f>
        <v/>
      </c>
      <c r="U152" s="129"/>
      <c r="V152" s="73"/>
      <c r="W152" s="68"/>
      <c r="X152" s="23">
        <v>45391</v>
      </c>
      <c r="Y152" s="7" t="s">
        <v>58</v>
      </c>
      <c r="Z152" s="120" t="str">
        <f>IF(Tableau3384[[#This Row],[Méthode du paiement]]="Mastercard","OUI","")</f>
        <v/>
      </c>
      <c r="AA152" s="180" t="s">
        <v>4</v>
      </c>
      <c r="AB152" s="6" t="s">
        <v>199</v>
      </c>
    </row>
    <row r="153" spans="1:28" hidden="1" x14ac:dyDescent="0.25">
      <c r="A153" s="9" t="s">
        <v>424</v>
      </c>
      <c r="B153" s="21">
        <v>45355</v>
      </c>
      <c r="C153" s="21">
        <v>45355</v>
      </c>
      <c r="D153" s="22" t="s">
        <v>50</v>
      </c>
      <c r="E153" s="11">
        <v>877.8</v>
      </c>
      <c r="F153" s="88">
        <v>8.1</v>
      </c>
      <c r="G153" s="80"/>
      <c r="H153" s="136">
        <f>Tableau3384[[#This Row],[Montant
CHF]]+Tableau3384[[#This Row],[Abzug/Spesen
CHF]]</f>
        <v>877.8</v>
      </c>
      <c r="I153" s="39"/>
      <c r="J153" s="40"/>
      <c r="K153" s="189"/>
      <c r="L153" s="298"/>
      <c r="M153" s="81"/>
      <c r="N153" s="21">
        <v>45382</v>
      </c>
      <c r="O153" s="282" t="str">
        <f>IF(Tableau3384[[#This Row],[Date du paiement]]&gt;0,"",Tableau3384[[#This Row],[Montant
CHF]])</f>
        <v/>
      </c>
      <c r="P153" s="276" t="str">
        <f>IF(Tableau3384[[#This Row],[Date du paiement]]="",$B$4-Tableau3384[[#This Row],[Écheance]],"")</f>
        <v/>
      </c>
      <c r="Q153" s="168" t="str">
        <f>IF(Tableau3384[[#This Row],[Date du paiement]]="",IF(Tableau3384[[#This Row],[jours jusqu''à l''écheance]]&gt;0,Tableau3384[[#This Row],[Montant
CHF]],""),"")</f>
        <v/>
      </c>
      <c r="R153" s="298" t="str">
        <f>IF(Tableau3384[[#This Row],[Date du paiement]]="",IF(Tableau3384[[#This Row],[jours jusqu''à l''écheance]]-($B$4-$B$11-1)&gt;0,Tableau3384[[#This Row],[Montant
CHF]],""),"")</f>
        <v/>
      </c>
      <c r="S153" s="142"/>
      <c r="T153" s="95" t="str">
        <f>IF(Tableau3384[[#This Row],[Paiements prevus]]="oui",Tableau3384[[#This Row],[Montant prevu à payer CH]],"")</f>
        <v/>
      </c>
      <c r="U153" s="129"/>
      <c r="V153" s="73"/>
      <c r="W153" s="68"/>
      <c r="X153" s="23">
        <v>45393</v>
      </c>
      <c r="Y153" s="7" t="s">
        <v>58</v>
      </c>
      <c r="Z153" s="120" t="str">
        <f>IF(Tableau3384[[#This Row],[Méthode du paiement]]="Mastercard","OUI","")</f>
        <v/>
      </c>
      <c r="AA153" s="18" t="s">
        <v>1431</v>
      </c>
      <c r="AB153" s="6" t="s">
        <v>99</v>
      </c>
    </row>
    <row r="154" spans="1:28" hidden="1" x14ac:dyDescent="0.25">
      <c r="A154" s="9" t="s">
        <v>313</v>
      </c>
      <c r="B154" s="21">
        <v>45355</v>
      </c>
      <c r="C154" s="21">
        <v>45355</v>
      </c>
      <c r="D154" s="22" t="s">
        <v>216</v>
      </c>
      <c r="E154" s="11">
        <v>254.15</v>
      </c>
      <c r="F154" s="88">
        <v>100</v>
      </c>
      <c r="G154" s="80"/>
      <c r="H154" s="136">
        <f>Tableau3384[[#This Row],[Montant
CHF]]+Tableau3384[[#This Row],[Abzug/Spesen
CHF]]</f>
        <v>254.15</v>
      </c>
      <c r="I154" s="39"/>
      <c r="J154" s="40"/>
      <c r="K154" s="189"/>
      <c r="L154" s="298"/>
      <c r="M154" s="81"/>
      <c r="N154" s="21">
        <f>Tableau3384[[#This Row],[Date de 
la facture]]+60</f>
        <v>45415</v>
      </c>
      <c r="O154" s="282" t="str">
        <f>IF(Tableau3384[[#This Row],[Date du paiement]]&gt;0,"",Tableau3384[[#This Row],[Montant
CHF]])</f>
        <v/>
      </c>
      <c r="P154" s="276" t="str">
        <f>IF(Tableau3384[[#This Row],[Date du paiement]]="",$B$4-Tableau3384[[#This Row],[Écheance]],"")</f>
        <v/>
      </c>
      <c r="Q154" s="168" t="str">
        <f>IF(Tableau3384[[#This Row],[Date du paiement]]="",IF(Tableau3384[[#This Row],[jours jusqu''à l''écheance]]&gt;0,Tableau3384[[#This Row],[Montant
CHF]],""),"")</f>
        <v/>
      </c>
      <c r="R154" s="298" t="str">
        <f>IF(Tableau3384[[#This Row],[Date du paiement]]="",IF(Tableau3384[[#This Row],[jours jusqu''à l''écheance]]-($B$4-$B$11-1)&gt;0,Tableau3384[[#This Row],[Montant
CHF]],""),"")</f>
        <v/>
      </c>
      <c r="S154" s="142"/>
      <c r="T154" s="95" t="str">
        <f>IF(Tableau3384[[#This Row],[Paiements prevus]]="oui",Tableau3384[[#This Row],[Montant prevu à payer CH]],"")</f>
        <v/>
      </c>
      <c r="U154" s="129"/>
      <c r="V154" s="73"/>
      <c r="W154" s="68"/>
      <c r="X154" s="23">
        <v>45419</v>
      </c>
      <c r="Y154" s="7" t="s">
        <v>58</v>
      </c>
      <c r="Z154" s="120" t="str">
        <f>IF(Tableau3384[[#This Row],[Méthode du paiement]]="Mastercard","OUI","")</f>
        <v/>
      </c>
      <c r="AA154" s="6" t="s">
        <v>604</v>
      </c>
      <c r="AB154" s="6" t="s">
        <v>321</v>
      </c>
    </row>
    <row r="155" spans="1:28" hidden="1" x14ac:dyDescent="0.25">
      <c r="A155" s="9" t="s">
        <v>296</v>
      </c>
      <c r="B155" s="21">
        <v>45355</v>
      </c>
      <c r="C155" s="21">
        <v>45356</v>
      </c>
      <c r="D155" s="22" t="s">
        <v>164</v>
      </c>
      <c r="E155" s="11">
        <v>988.2</v>
      </c>
      <c r="F155" s="88">
        <v>0</v>
      </c>
      <c r="G155" s="80"/>
      <c r="H155" s="136">
        <f>Tableau3384[[#This Row],[Montant
CHF]]+Tableau3384[[#This Row],[Abzug/Spesen
CHF]]</f>
        <v>988.2</v>
      </c>
      <c r="I155" s="39"/>
      <c r="J155" s="40"/>
      <c r="K155" s="189"/>
      <c r="L155" s="298"/>
      <c r="M155" s="81" t="s">
        <v>716</v>
      </c>
      <c r="N155" s="21">
        <v>45385</v>
      </c>
      <c r="O155" s="282" t="str">
        <f>IF(Tableau3384[[#This Row],[Date du paiement]]&gt;0,"",Tableau3384[[#This Row],[Montant
CHF]])</f>
        <v/>
      </c>
      <c r="P155" s="276" t="str">
        <f>IF(Tableau3384[[#This Row],[Date du paiement]]="",$B$4-Tableau3384[[#This Row],[Écheance]],"")</f>
        <v/>
      </c>
      <c r="Q155" s="168" t="str">
        <f>IF(Tableau3384[[#This Row],[Date du paiement]]="",IF(Tableau3384[[#This Row],[jours jusqu''à l''écheance]]&gt;0,Tableau3384[[#This Row],[Montant
CHF]],""),"")</f>
        <v/>
      </c>
      <c r="R155" s="298" t="str">
        <f>IF(Tableau3384[[#This Row],[Date du paiement]]="",IF(Tableau3384[[#This Row],[jours jusqu''à l''écheance]]-($B$4-$B$11-1)&gt;0,Tableau3384[[#This Row],[Montant
CHF]],""),"")</f>
        <v/>
      </c>
      <c r="S155" s="142"/>
      <c r="T155" s="95" t="str">
        <f>IF(Tableau3384[[#This Row],[Paiements prevus]]="oui",Tableau3384[[#This Row],[Montant prevu à payer CH]],"")</f>
        <v/>
      </c>
      <c r="U155" s="129"/>
      <c r="V155" s="73"/>
      <c r="W155" s="68"/>
      <c r="X155" s="23">
        <v>45391</v>
      </c>
      <c r="Y155" s="7" t="s">
        <v>58</v>
      </c>
      <c r="Z155" s="120" t="str">
        <f>IF(Tableau3384[[#This Row],[Méthode du paiement]]="Mastercard","OUI","")</f>
        <v/>
      </c>
      <c r="AA155" s="6" t="s">
        <v>4</v>
      </c>
      <c r="AB155" s="6" t="s">
        <v>357</v>
      </c>
    </row>
    <row r="156" spans="1:28" hidden="1" x14ac:dyDescent="0.25">
      <c r="A156" s="9" t="s">
        <v>231</v>
      </c>
      <c r="B156" s="21">
        <v>45355</v>
      </c>
      <c r="C156" s="21">
        <v>45357</v>
      </c>
      <c r="D156" s="22" t="s">
        <v>13</v>
      </c>
      <c r="E156" s="11">
        <f>Tableau3384[[#This Row],[Montant
EUR]]*Tableau3384[[#This Row],[Taux 
de change]]</f>
        <v>19918.779904059997</v>
      </c>
      <c r="F156" s="88">
        <v>0</v>
      </c>
      <c r="G156" s="80"/>
      <c r="H156" s="136">
        <f>Tableau3384[[#This Row],[Montant
CHF]]+Tableau3384[[#This Row],[Abzug/Spesen
CHF]]</f>
        <v>19918.779904059997</v>
      </c>
      <c r="I156" s="39">
        <v>0.98594349999999997</v>
      </c>
      <c r="J156" s="40">
        <v>20202.759999999998</v>
      </c>
      <c r="K156" s="189"/>
      <c r="L156" s="298"/>
      <c r="M156" s="81"/>
      <c r="N156" s="21">
        <v>45416</v>
      </c>
      <c r="O156" s="282" t="str">
        <f>IF(Tableau3384[[#This Row],[Date du paiement]]&gt;0,"",Tableau3384[[#This Row],[Montant
CHF]])</f>
        <v/>
      </c>
      <c r="P156" s="276" t="str">
        <f>IF(Tableau3384[[#This Row],[Date du paiement]]="",$B$4-Tableau3384[[#This Row],[Écheance]],"")</f>
        <v/>
      </c>
      <c r="Q156" s="168" t="str">
        <f>IF(Tableau3384[[#This Row],[Date du paiement]]="",IF(Tableau3384[[#This Row],[jours jusqu''à l''écheance]]&gt;0,Tableau3384[[#This Row],[Montant
CHF]],""),"")</f>
        <v/>
      </c>
      <c r="R156" s="298" t="str">
        <f>IF(Tableau3384[[#This Row],[Date du paiement]]="",IF(Tableau3384[[#This Row],[jours jusqu''à l''écheance]]-($B$4-$B$11-1)&gt;0,Tableau3384[[#This Row],[Montant
CHF]],""),"")</f>
        <v/>
      </c>
      <c r="S156" s="142"/>
      <c r="T156" s="95" t="str">
        <f>IF(Tableau3384[[#This Row],[Paiements prevus]]="oui",Tableau3384[[#This Row],[Montant prevu à payer CH]],"")</f>
        <v/>
      </c>
      <c r="U156" s="129"/>
      <c r="V156" s="73"/>
      <c r="W156" s="68"/>
      <c r="X156" s="23">
        <v>45414</v>
      </c>
      <c r="Y156" s="7" t="s">
        <v>58</v>
      </c>
      <c r="Z156" s="120" t="str">
        <f>IF(Tableau3384[[#This Row],[Méthode du paiement]]="Mastercard","OUI","")</f>
        <v/>
      </c>
      <c r="AA156" s="6" t="s">
        <v>14</v>
      </c>
      <c r="AB156" s="6" t="s">
        <v>234</v>
      </c>
    </row>
    <row r="157" spans="1:28" hidden="1" x14ac:dyDescent="0.25">
      <c r="A157" s="9" t="s">
        <v>304</v>
      </c>
      <c r="B157" s="21">
        <v>45355</v>
      </c>
      <c r="C157" s="21">
        <v>45359</v>
      </c>
      <c r="D157" s="22" t="s">
        <v>305</v>
      </c>
      <c r="E157" s="11">
        <v>54</v>
      </c>
      <c r="F157" s="88">
        <v>0</v>
      </c>
      <c r="G157" s="80"/>
      <c r="H157" s="136">
        <f>Tableau3384[[#This Row],[Montant
CHF]]+Tableau3384[[#This Row],[Abzug/Spesen
CHF]]</f>
        <v>54</v>
      </c>
      <c r="I157" s="39"/>
      <c r="J157" s="40"/>
      <c r="K157" s="189"/>
      <c r="L157" s="298"/>
      <c r="M157" s="194"/>
      <c r="N157" s="21">
        <v>45415</v>
      </c>
      <c r="O157" s="282" t="str">
        <f>IF(Tableau3384[[#This Row],[Date du paiement]]&gt;0,"",Tableau3384[[#This Row],[Montant
CHF]])</f>
        <v/>
      </c>
      <c r="P157" s="276" t="str">
        <f>IF(Tableau3384[[#This Row],[Date du paiement]]="",$B$4-Tableau3384[[#This Row],[Écheance]],"")</f>
        <v/>
      </c>
      <c r="Q157" s="168" t="str">
        <f>IF(Tableau3384[[#This Row],[Date du paiement]]="",IF(Tableau3384[[#This Row],[jours jusqu''à l''écheance]]&gt;0,Tableau3384[[#This Row],[Montant
CHF]],""),"")</f>
        <v/>
      </c>
      <c r="R157" s="298" t="str">
        <f>IF(Tableau3384[[#This Row],[Date du paiement]]="",IF(Tableau3384[[#This Row],[jours jusqu''à l''écheance]]-($B$4-$B$11-1)&gt;0,Tableau3384[[#This Row],[Montant
CHF]],""),"")</f>
        <v/>
      </c>
      <c r="S157" s="142"/>
      <c r="T157" s="95" t="str">
        <f>IF(Tableau3384[[#This Row],[Paiements prevus]]="oui",Tableau3384[[#This Row],[Montant prevu à payer CH]],"")</f>
        <v/>
      </c>
      <c r="U157" s="129"/>
      <c r="V157" s="73"/>
      <c r="W157" s="68"/>
      <c r="X157" s="23">
        <v>45419</v>
      </c>
      <c r="Y157" s="7" t="s">
        <v>58</v>
      </c>
      <c r="Z157" s="120" t="str">
        <f>IF(Tableau3384[[#This Row],[Méthode du paiement]]="Mastercard","OUI","")</f>
        <v/>
      </c>
      <c r="AA157" s="6" t="s">
        <v>43</v>
      </c>
      <c r="AB157" s="6" t="s">
        <v>306</v>
      </c>
    </row>
    <row r="158" spans="1:28" hidden="1" x14ac:dyDescent="0.25">
      <c r="A158" s="9" t="s">
        <v>248</v>
      </c>
      <c r="B158" s="21">
        <v>45356</v>
      </c>
      <c r="C158" s="21">
        <v>45356</v>
      </c>
      <c r="D158" s="22" t="s">
        <v>25</v>
      </c>
      <c r="E158" s="11">
        <v>40</v>
      </c>
      <c r="F158" s="88">
        <v>0</v>
      </c>
      <c r="G158" s="80"/>
      <c r="H158" s="136">
        <f>Tableau3384[[#This Row],[Montant
CHF]]+Tableau3384[[#This Row],[Abzug/Spesen
CHF]]</f>
        <v>40</v>
      </c>
      <c r="I158" s="39"/>
      <c r="J158" s="40"/>
      <c r="K158" s="189"/>
      <c r="L158" s="298"/>
      <c r="M158" s="81"/>
      <c r="N158" s="21">
        <v>45376</v>
      </c>
      <c r="O158" s="282" t="str">
        <f>IF(Tableau3384[[#This Row],[Date du paiement]]&gt;0,"",Tableau3384[[#This Row],[Montant
CHF]])</f>
        <v/>
      </c>
      <c r="P158" s="276" t="str">
        <f>IF(Tableau3384[[#This Row],[Date du paiement]]="",$B$4-Tableau3384[[#This Row],[Écheance]],"")</f>
        <v/>
      </c>
      <c r="Q158" s="168" t="str">
        <f>IF(Tableau3384[[#This Row],[Date du paiement]]="",IF(Tableau3384[[#This Row],[jours jusqu''à l''écheance]]&gt;0,Tableau3384[[#This Row],[Montant
CHF]],""),"")</f>
        <v/>
      </c>
      <c r="R158" s="298" t="str">
        <f>IF(Tableau3384[[#This Row],[Date du paiement]]="",IF(Tableau3384[[#This Row],[jours jusqu''à l''écheance]]-($B$4-$B$11-1)&gt;0,Tableau3384[[#This Row],[Montant
CHF]],""),"")</f>
        <v/>
      </c>
      <c r="S158" s="142"/>
      <c r="T158" s="95" t="str">
        <f>IF(Tableau3384[[#This Row],[Paiements prevus]]="oui",Tableau3384[[#This Row],[Montant prevu à payer CH]],"")</f>
        <v/>
      </c>
      <c r="U158" s="129"/>
      <c r="V158" s="73"/>
      <c r="W158" s="68"/>
      <c r="X158" s="23">
        <v>45391</v>
      </c>
      <c r="Y158" s="7" t="s">
        <v>58</v>
      </c>
      <c r="Z158" s="120" t="str">
        <f>IF(Tableau3384[[#This Row],[Méthode du paiement]]="Mastercard","OUI","")</f>
        <v/>
      </c>
      <c r="AA158" s="6" t="s">
        <v>26</v>
      </c>
      <c r="AB158" s="6" t="s">
        <v>249</v>
      </c>
    </row>
    <row r="159" spans="1:28" hidden="1" x14ac:dyDescent="0.25">
      <c r="A159" s="9" t="s">
        <v>264</v>
      </c>
      <c r="B159" s="21">
        <v>45356</v>
      </c>
      <c r="C159" s="21">
        <v>45356</v>
      </c>
      <c r="D159" s="22" t="s">
        <v>164</v>
      </c>
      <c r="E159" s="11">
        <v>-148.5</v>
      </c>
      <c r="F159" s="88">
        <v>0</v>
      </c>
      <c r="G159" s="80"/>
      <c r="H159" s="136">
        <f>Tableau3384[[#This Row],[Montant
CHF]]+Tableau3384[[#This Row],[Abzug/Spesen
CHF]]</f>
        <v>-148.5</v>
      </c>
      <c r="I159" s="39"/>
      <c r="J159" s="40"/>
      <c r="K159" s="189"/>
      <c r="L159" s="298"/>
      <c r="M159" s="81"/>
      <c r="N159" s="21">
        <v>45385</v>
      </c>
      <c r="O159" s="282" t="str">
        <f>IF(Tableau3384[[#This Row],[Date du paiement]]&gt;0,"",Tableau3384[[#This Row],[Montant
CHF]])</f>
        <v/>
      </c>
      <c r="P159" s="276" t="str">
        <f>IF(Tableau3384[[#This Row],[Date du paiement]]="",$B$4-Tableau3384[[#This Row],[Écheance]],"")</f>
        <v/>
      </c>
      <c r="Q159" s="168" t="str">
        <f>IF(Tableau3384[[#This Row],[Date du paiement]]="",IF(Tableau3384[[#This Row],[jours jusqu''à l''écheance]]&gt;0,Tableau3384[[#This Row],[Montant
CHF]],""),"")</f>
        <v/>
      </c>
      <c r="R159" s="298" t="str">
        <f>IF(Tableau3384[[#This Row],[Date du paiement]]="",IF(Tableau3384[[#This Row],[jours jusqu''à l''écheance]]-($B$4-$B$11-1)&gt;0,Tableau3384[[#This Row],[Montant
CHF]],""),"")</f>
        <v/>
      </c>
      <c r="S159" s="142"/>
      <c r="T159" s="95" t="str">
        <f>IF(Tableau3384[[#This Row],[Paiements prevus]]="oui",Tableau3384[[#This Row],[Montant prevu à payer CH]],"")</f>
        <v/>
      </c>
      <c r="U159" s="129">
        <v>2023</v>
      </c>
      <c r="V159" s="73"/>
      <c r="W159" s="68"/>
      <c r="X159" s="23">
        <v>45391</v>
      </c>
      <c r="Y159" s="7" t="s">
        <v>58</v>
      </c>
      <c r="Z159" s="120" t="str">
        <f>IF(Tableau3384[[#This Row],[Méthode du paiement]]="Mastercard","OUI","")</f>
        <v/>
      </c>
      <c r="AA159" s="6" t="s">
        <v>4</v>
      </c>
      <c r="AB159" s="6" t="s">
        <v>263</v>
      </c>
    </row>
    <row r="160" spans="1:28" hidden="1" x14ac:dyDescent="0.25">
      <c r="A160" s="9" t="s">
        <v>230</v>
      </c>
      <c r="B160" s="21">
        <v>45356</v>
      </c>
      <c r="C160" s="21">
        <v>45358</v>
      </c>
      <c r="D160" s="22" t="s">
        <v>13</v>
      </c>
      <c r="E160" s="11">
        <f>Tableau3384[[#This Row],[Montant
EUR]]*Tableau3384[[#This Row],[Taux 
de change]]</f>
        <v>15167.859719144</v>
      </c>
      <c r="F160" s="88">
        <v>0</v>
      </c>
      <c r="G160" s="80"/>
      <c r="H160" s="136">
        <f>Tableau3384[[#This Row],[Montant
CHF]]+Tableau3384[[#This Row],[Abzug/Spesen
CHF]]</f>
        <v>15167.859719144</v>
      </c>
      <c r="I160" s="39">
        <v>0.98049969999999997</v>
      </c>
      <c r="J160" s="40">
        <v>15469.52</v>
      </c>
      <c r="K160" s="189"/>
      <c r="L160" s="298"/>
      <c r="M160" s="81"/>
      <c r="N160" s="21">
        <v>45417</v>
      </c>
      <c r="O160" s="282" t="str">
        <f>IF(Tableau3384[[#This Row],[Date du paiement]]&gt;0,"",Tableau3384[[#This Row],[Montant
CHF]])</f>
        <v/>
      </c>
      <c r="P160" s="276" t="str">
        <f>IF(Tableau3384[[#This Row],[Date du paiement]]="",$B$4-Tableau3384[[#This Row],[Écheance]],"")</f>
        <v/>
      </c>
      <c r="Q160" s="168" t="str">
        <f>IF(Tableau3384[[#This Row],[Date du paiement]]="",IF(Tableau3384[[#This Row],[jours jusqu''à l''écheance]]&gt;0,Tableau3384[[#This Row],[Montant
CHF]],""),"")</f>
        <v/>
      </c>
      <c r="R160" s="298" t="str">
        <f>IF(Tableau3384[[#This Row],[Date du paiement]]="",IF(Tableau3384[[#This Row],[jours jusqu''à l''écheance]]-($B$4-$B$11-1)&gt;0,Tableau3384[[#This Row],[Montant
CHF]],""),"")</f>
        <v/>
      </c>
      <c r="S160" s="142"/>
      <c r="T160" s="95" t="str">
        <f>IF(Tableau3384[[#This Row],[Paiements prevus]]="oui",Tableau3384[[#This Row],[Montant prevu à payer CH]],"")</f>
        <v/>
      </c>
      <c r="U160" s="176"/>
      <c r="V160" s="192"/>
      <c r="W160" s="190"/>
      <c r="X160" s="23">
        <v>45419</v>
      </c>
      <c r="Y160" s="7" t="s">
        <v>58</v>
      </c>
      <c r="Z160" s="120" t="str">
        <f>IF(Tableau3384[[#This Row],[Méthode du paiement]]="Mastercard","OUI","")</f>
        <v/>
      </c>
      <c r="AA160" s="6" t="s">
        <v>14</v>
      </c>
      <c r="AB160" s="6" t="s">
        <v>235</v>
      </c>
    </row>
    <row r="161" spans="1:28" hidden="1" x14ac:dyDescent="0.25">
      <c r="A161" s="9" t="s">
        <v>326</v>
      </c>
      <c r="B161" s="21">
        <v>45357</v>
      </c>
      <c r="C161" s="21">
        <v>45357</v>
      </c>
      <c r="D161" s="22" t="s">
        <v>196</v>
      </c>
      <c r="E161" s="11">
        <v>918.55</v>
      </c>
      <c r="F161" s="88">
        <v>8.1</v>
      </c>
      <c r="G161" s="80"/>
      <c r="H161" s="136">
        <f>Tableau3384[[#This Row],[Montant
CHF]]+Tableau3384[[#This Row],[Abzug/Spesen
CHF]]</f>
        <v>918.55</v>
      </c>
      <c r="I161" s="39"/>
      <c r="J161" s="40"/>
      <c r="K161" s="189"/>
      <c r="L161" s="298"/>
      <c r="M161" s="81"/>
      <c r="N161" s="21">
        <v>45367</v>
      </c>
      <c r="O161" s="282" t="str">
        <f>IF(Tableau3384[[#This Row],[Date du paiement]]&gt;0,"",Tableau3384[[#This Row],[Montant
CHF]])</f>
        <v/>
      </c>
      <c r="P161" s="276" t="str">
        <f>IF(Tableau3384[[#This Row],[Date du paiement]]="",$B$4-Tableau3384[[#This Row],[Écheance]],"")</f>
        <v/>
      </c>
      <c r="Q161" s="168" t="str">
        <f>IF(Tableau3384[[#This Row],[Date du paiement]]="",IF(Tableau3384[[#This Row],[jours jusqu''à l''écheance]]&gt;0,Tableau3384[[#This Row],[Montant
CHF]],""),"")</f>
        <v/>
      </c>
      <c r="R161" s="298" t="str">
        <f>IF(Tableau3384[[#This Row],[Date du paiement]]="",IF(Tableau3384[[#This Row],[jours jusqu''à l''écheance]]-($B$4-$B$11-1)&gt;0,Tableau3384[[#This Row],[Montant
CHF]],""),"")</f>
        <v/>
      </c>
      <c r="S161" s="142"/>
      <c r="T161" s="95" t="str">
        <f>IF(Tableau3384[[#This Row],[Paiements prevus]]="oui",Tableau3384[[#This Row],[Montant prevu à payer CH]],"")</f>
        <v/>
      </c>
      <c r="U161" s="129"/>
      <c r="V161" s="73"/>
      <c r="W161" s="68"/>
      <c r="X161" s="23">
        <v>45391</v>
      </c>
      <c r="Y161" s="7" t="s">
        <v>58</v>
      </c>
      <c r="Z161" s="120" t="str">
        <f>IF(Tableau3384[[#This Row],[Méthode du paiement]]="Mastercard","OUI","")</f>
        <v/>
      </c>
      <c r="AA161" s="6" t="s">
        <v>4</v>
      </c>
      <c r="AB161" s="6" t="s">
        <v>327</v>
      </c>
    </row>
    <row r="162" spans="1:28" hidden="1" x14ac:dyDescent="0.25">
      <c r="A162" s="9" t="s">
        <v>242</v>
      </c>
      <c r="B162" s="21">
        <v>45357</v>
      </c>
      <c r="C162" s="21">
        <v>45357</v>
      </c>
      <c r="D162" s="22" t="s">
        <v>117</v>
      </c>
      <c r="E162" s="11">
        <f>Tableau3384[[#This Row],[Montant
EUR]]*Tableau3384[[#This Row],[Taux 
de change]]</f>
        <v>7626.9299778000004</v>
      </c>
      <c r="F162" s="88">
        <v>0</v>
      </c>
      <c r="G162" s="80"/>
      <c r="H162" s="136">
        <f>Tableau3384[[#This Row],[Montant
CHF]]+Tableau3384[[#This Row],[Abzug/Spesen
CHF]]</f>
        <v>7626.9299778000004</v>
      </c>
      <c r="I162" s="39">
        <v>0.98539147000000005</v>
      </c>
      <c r="J162" s="40">
        <v>7740</v>
      </c>
      <c r="K162" s="189"/>
      <c r="L162" s="298"/>
      <c r="M162" s="81"/>
      <c r="N162" s="21">
        <v>45387</v>
      </c>
      <c r="O162" s="282" t="str">
        <f>IF(Tableau3384[[#This Row],[Date du paiement]]&gt;0,"",Tableau3384[[#This Row],[Montant
CHF]])</f>
        <v/>
      </c>
      <c r="P162" s="276" t="str">
        <f>IF(Tableau3384[[#This Row],[Date du paiement]]="",$B$4-Tableau3384[[#This Row],[Écheance]],"")</f>
        <v/>
      </c>
      <c r="Q162" s="168" t="str">
        <f>IF(Tableau3384[[#This Row],[Date du paiement]]="",IF(Tableau3384[[#This Row],[jours jusqu''à l''écheance]]&gt;0,Tableau3384[[#This Row],[Montant
CHF]],""),"")</f>
        <v/>
      </c>
      <c r="R162" s="298" t="str">
        <f>IF(Tableau3384[[#This Row],[Date du paiement]]="",IF(Tableau3384[[#This Row],[jours jusqu''à l''écheance]]-($B$4-$B$11-1)&gt;0,Tableau3384[[#This Row],[Montant
CHF]],""),"")</f>
        <v/>
      </c>
      <c r="S162" s="142"/>
      <c r="T162" s="95" t="str">
        <f>IF(Tableau3384[[#This Row],[Paiements prevus]]="oui",Tableau3384[[#This Row],[Montant prevu à payer CH]],"")</f>
        <v/>
      </c>
      <c r="U162" s="129"/>
      <c r="V162" s="73"/>
      <c r="W162" s="68"/>
      <c r="X162" s="23">
        <v>45391</v>
      </c>
      <c r="Y162" s="7" t="s">
        <v>58</v>
      </c>
      <c r="Z162" s="120" t="str">
        <f>IF(Tableau3384[[#This Row],[Méthode du paiement]]="Mastercard","OUI","")</f>
        <v/>
      </c>
      <c r="AA162" s="6" t="s">
        <v>14</v>
      </c>
      <c r="AB162" s="6" t="s">
        <v>243</v>
      </c>
    </row>
    <row r="163" spans="1:28" hidden="1" x14ac:dyDescent="0.25">
      <c r="A163" s="9" t="s">
        <v>41</v>
      </c>
      <c r="B163" s="21">
        <v>45357</v>
      </c>
      <c r="C163" s="21">
        <v>45359</v>
      </c>
      <c r="D163" s="22" t="s">
        <v>42</v>
      </c>
      <c r="E163" s="11">
        <v>36</v>
      </c>
      <c r="F163" s="88">
        <v>8.1</v>
      </c>
      <c r="G163" s="80"/>
      <c r="H163" s="136">
        <f>Tableau3384[[#This Row],[Montant
CHF]]+Tableau3384[[#This Row],[Abzug/Spesen
CHF]]</f>
        <v>36</v>
      </c>
      <c r="I163" s="39"/>
      <c r="J163" s="40"/>
      <c r="K163" s="189"/>
      <c r="L163" s="298"/>
      <c r="M163" s="81"/>
      <c r="N163" s="21">
        <v>45387</v>
      </c>
      <c r="O163" s="282" t="str">
        <f>IF(Tableau3384[[#This Row],[Date du paiement]]&gt;0,"",Tableau3384[[#This Row],[Montant
CHF]])</f>
        <v/>
      </c>
      <c r="P163" s="276" t="str">
        <f>IF(Tableau3384[[#This Row],[Date du paiement]]="",$B$4-Tableau3384[[#This Row],[Écheance]],"")</f>
        <v/>
      </c>
      <c r="Q163" s="168" t="str">
        <f>IF(Tableau3384[[#This Row],[Date du paiement]]="",IF(Tableau3384[[#This Row],[jours jusqu''à l''écheance]]&gt;0,Tableau3384[[#This Row],[Montant
CHF]],""),"")</f>
        <v/>
      </c>
      <c r="R163" s="298" t="str">
        <f>IF(Tableau3384[[#This Row],[Date du paiement]]="",IF(Tableau3384[[#This Row],[jours jusqu''à l''écheance]]-($B$4-$B$11-1)&gt;0,Tableau3384[[#This Row],[Montant
CHF]],""),"")</f>
        <v/>
      </c>
      <c r="S163" s="142"/>
      <c r="T163" s="95" t="str">
        <f>IF(Tableau3384[[#This Row],[Paiements prevus]]="oui",Tableau3384[[#This Row],[Montant prevu à payer CH]],"")</f>
        <v/>
      </c>
      <c r="U163" s="129"/>
      <c r="V163" s="73"/>
      <c r="W163" s="68"/>
      <c r="X163" s="23">
        <v>45391</v>
      </c>
      <c r="Y163" s="7" t="s">
        <v>58</v>
      </c>
      <c r="Z163" s="120" t="str">
        <f>IF(Tableau3384[[#This Row],[Méthode du paiement]]="Mastercard","OUI","")</f>
        <v/>
      </c>
      <c r="AA163" s="180" t="s">
        <v>43</v>
      </c>
      <c r="AB163" s="6" t="s">
        <v>307</v>
      </c>
    </row>
    <row r="164" spans="1:28" hidden="1" x14ac:dyDescent="0.25">
      <c r="A164" s="9" t="s">
        <v>16</v>
      </c>
      <c r="B164" s="21">
        <v>45357</v>
      </c>
      <c r="C164" s="21">
        <v>45363</v>
      </c>
      <c r="D164" s="22" t="s">
        <v>18</v>
      </c>
      <c r="E164" s="11">
        <v>-90.65</v>
      </c>
      <c r="F164" s="88">
        <v>0</v>
      </c>
      <c r="G164" s="80"/>
      <c r="H164" s="136">
        <f>Tableau3384[[#This Row],[Montant
CHF]]+Tableau3384[[#This Row],[Abzug/Spesen
CHF]]</f>
        <v>-90.65</v>
      </c>
      <c r="I164" s="39"/>
      <c r="J164" s="40"/>
      <c r="K164" s="189"/>
      <c r="L164" s="298"/>
      <c r="M164" s="81"/>
      <c r="N164" s="21">
        <v>45357</v>
      </c>
      <c r="O164" s="282" t="str">
        <f>IF(Tableau3384[[#This Row],[Date du paiement]]&gt;0,"",Tableau3384[[#This Row],[Montant
CHF]])</f>
        <v/>
      </c>
      <c r="P164" s="276" t="str">
        <f>IF(Tableau3384[[#This Row],[Date du paiement]]="",$B$4-Tableau3384[[#This Row],[Écheance]],"")</f>
        <v/>
      </c>
      <c r="Q164" s="168" t="str">
        <f>IF(Tableau3384[[#This Row],[Date du paiement]]="",IF(Tableau3384[[#This Row],[jours jusqu''à l''écheance]]&gt;0,Tableau3384[[#This Row],[Montant
CHF]],""),"")</f>
        <v/>
      </c>
      <c r="R164" s="298" t="str">
        <f>IF(Tableau3384[[#This Row],[Date du paiement]]="",IF(Tableau3384[[#This Row],[jours jusqu''à l''écheance]]-($B$4-$B$11-1)&gt;0,Tableau3384[[#This Row],[Montant
CHF]],""),"")</f>
        <v/>
      </c>
      <c r="S164" s="142"/>
      <c r="T164" s="95" t="str">
        <f>IF(Tableau3384[[#This Row],[Paiements prevus]]="oui",Tableau3384[[#This Row],[Montant prevu à payer CH]],"")</f>
        <v/>
      </c>
      <c r="U164" s="129">
        <v>2023</v>
      </c>
      <c r="V164" s="73"/>
      <c r="W164" s="68"/>
      <c r="X164" s="23">
        <v>45364</v>
      </c>
      <c r="Y164" s="7" t="s">
        <v>58</v>
      </c>
      <c r="Z164" s="120" t="str">
        <f>IF(Tableau3384[[#This Row],[Méthode du paiement]]="Mastercard","OUI","")</f>
        <v/>
      </c>
      <c r="AA164" s="6" t="s">
        <v>4</v>
      </c>
      <c r="AB164" s="6" t="s">
        <v>260</v>
      </c>
    </row>
    <row r="165" spans="1:28" hidden="1" x14ac:dyDescent="0.25">
      <c r="A165" s="9" t="s">
        <v>17</v>
      </c>
      <c r="B165" s="21">
        <v>45357</v>
      </c>
      <c r="C165" s="21">
        <v>45363</v>
      </c>
      <c r="D165" s="22" t="s">
        <v>18</v>
      </c>
      <c r="E165" s="11">
        <v>-8.75</v>
      </c>
      <c r="F165" s="88">
        <v>0</v>
      </c>
      <c r="G165" s="80"/>
      <c r="H165" s="136">
        <f>Tableau3384[[#This Row],[Montant
CHF]]+Tableau3384[[#This Row],[Abzug/Spesen
CHF]]</f>
        <v>-8.75</v>
      </c>
      <c r="I165" s="39"/>
      <c r="J165" s="40"/>
      <c r="K165" s="189"/>
      <c r="L165" s="298"/>
      <c r="M165" s="81"/>
      <c r="N165" s="21">
        <v>45357</v>
      </c>
      <c r="O165" s="282" t="str">
        <f>IF(Tableau3384[[#This Row],[Date du paiement]]&gt;0,"",Tableau3384[[#This Row],[Montant
CHF]])</f>
        <v/>
      </c>
      <c r="P165" s="276" t="str">
        <f>IF(Tableau3384[[#This Row],[Date du paiement]]="",$B$4-Tableau3384[[#This Row],[Écheance]],"")</f>
        <v/>
      </c>
      <c r="Q165" s="168" t="str">
        <f>IF(Tableau3384[[#This Row],[Date du paiement]]="",IF(Tableau3384[[#This Row],[jours jusqu''à l''écheance]]&gt;0,Tableau3384[[#This Row],[Montant
CHF]],""),"")</f>
        <v/>
      </c>
      <c r="R165" s="298" t="str">
        <f>IF(Tableau3384[[#This Row],[Date du paiement]]="",IF(Tableau3384[[#This Row],[jours jusqu''à l''écheance]]-($B$4-$B$11-1)&gt;0,Tableau3384[[#This Row],[Montant
CHF]],""),"")</f>
        <v/>
      </c>
      <c r="S165" s="142"/>
      <c r="T165" s="95" t="str">
        <f>IF(Tableau3384[[#This Row],[Paiements prevus]]="oui",Tableau3384[[#This Row],[Montant prevu à payer CH]],"")</f>
        <v/>
      </c>
      <c r="U165" s="129">
        <v>2023</v>
      </c>
      <c r="V165" s="73"/>
      <c r="W165" s="68"/>
      <c r="X165" s="23">
        <v>45364</v>
      </c>
      <c r="Y165" s="7" t="s">
        <v>58</v>
      </c>
      <c r="Z165" s="120" t="str">
        <f>IF(Tableau3384[[#This Row],[Méthode du paiement]]="Mastercard","OUI","")</f>
        <v/>
      </c>
      <c r="AA165" s="6" t="s">
        <v>4</v>
      </c>
      <c r="AB165" s="6" t="s">
        <v>261</v>
      </c>
    </row>
    <row r="166" spans="1:28" hidden="1" x14ac:dyDescent="0.25">
      <c r="A166" s="9" t="s">
        <v>236</v>
      </c>
      <c r="B166" s="21">
        <v>45359</v>
      </c>
      <c r="C166" s="21">
        <v>45359</v>
      </c>
      <c r="D166" s="22" t="s">
        <v>237</v>
      </c>
      <c r="E166" s="11">
        <v>227</v>
      </c>
      <c r="F166" s="88">
        <v>8.1</v>
      </c>
      <c r="G166" s="80"/>
      <c r="H166" s="136">
        <f>Tableau3384[[#This Row],[Montant
CHF]]+Tableau3384[[#This Row],[Abzug/Spesen
CHF]]</f>
        <v>227</v>
      </c>
      <c r="I166" s="39"/>
      <c r="J166" s="189"/>
      <c r="K166" s="189"/>
      <c r="L166" s="298"/>
      <c r="M166" s="81"/>
      <c r="N166" s="21">
        <v>45369</v>
      </c>
      <c r="O166" s="282" t="str">
        <f>IF(Tableau3384[[#This Row],[Date du paiement]]&gt;0,"",Tableau3384[[#This Row],[Montant
CHF]])</f>
        <v/>
      </c>
      <c r="P166" s="276" t="str">
        <f>IF(Tableau3384[[#This Row],[Date du paiement]]="",$B$4-Tableau3384[[#This Row],[Écheance]],"")</f>
        <v/>
      </c>
      <c r="Q166" s="168" t="str">
        <f>IF(Tableau3384[[#This Row],[Date du paiement]]="",IF(Tableau3384[[#This Row],[jours jusqu''à l''écheance]]&gt;0,Tableau3384[[#This Row],[Montant
CHF]],""),"")</f>
        <v/>
      </c>
      <c r="R166" s="298" t="str">
        <f>IF(Tableau3384[[#This Row],[Date du paiement]]="",IF(Tableau3384[[#This Row],[jours jusqu''à l''écheance]]-($B$4-$B$11-1)&gt;0,Tableau3384[[#This Row],[Montant
CHF]],""),"")</f>
        <v/>
      </c>
      <c r="S166" s="142"/>
      <c r="T166" s="95" t="str">
        <f>IF(Tableau3384[[#This Row],[Paiements prevus]]="oui",Tableau3384[[#This Row],[Montant prevu à payer CH]],"")</f>
        <v/>
      </c>
      <c r="U166" s="129"/>
      <c r="V166" s="73"/>
      <c r="W166" s="68"/>
      <c r="X166" s="23">
        <v>45384</v>
      </c>
      <c r="Y166" s="7" t="s">
        <v>58</v>
      </c>
      <c r="Z166" s="120" t="str">
        <f>IF(Tableau3384[[#This Row],[Méthode du paiement]]="Mastercard","OUI","")</f>
        <v/>
      </c>
      <c r="AA166" s="6" t="s">
        <v>14</v>
      </c>
      <c r="AB166" s="6" t="s">
        <v>238</v>
      </c>
    </row>
    <row r="167" spans="1:28" hidden="1" x14ac:dyDescent="0.25">
      <c r="A167" s="9" t="s">
        <v>328</v>
      </c>
      <c r="B167" s="21">
        <v>45359</v>
      </c>
      <c r="C167" s="21">
        <v>45359</v>
      </c>
      <c r="D167" s="22" t="s">
        <v>196</v>
      </c>
      <c r="E167" s="11">
        <v>195.45</v>
      </c>
      <c r="F167" s="88">
        <v>8.1</v>
      </c>
      <c r="G167" s="80"/>
      <c r="H167" s="136">
        <f>Tableau3384[[#This Row],[Montant
CHF]]+Tableau3384[[#This Row],[Abzug/Spesen
CHF]]</f>
        <v>195.45</v>
      </c>
      <c r="I167" s="39"/>
      <c r="J167" s="40"/>
      <c r="K167" s="189"/>
      <c r="L167" s="298"/>
      <c r="M167" s="81"/>
      <c r="N167" s="21">
        <v>45369</v>
      </c>
      <c r="O167" s="282" t="str">
        <f>IF(Tableau3384[[#This Row],[Date du paiement]]&gt;0,"",Tableau3384[[#This Row],[Montant
CHF]])</f>
        <v/>
      </c>
      <c r="P167" s="276" t="str">
        <f>IF(Tableau3384[[#This Row],[Date du paiement]]="",$B$4-Tableau3384[[#This Row],[Écheance]],"")</f>
        <v/>
      </c>
      <c r="Q167" s="168" t="str">
        <f>IF(Tableau3384[[#This Row],[Date du paiement]]="",IF(Tableau3384[[#This Row],[jours jusqu''à l''écheance]]&gt;0,Tableau3384[[#This Row],[Montant
CHF]],""),"")</f>
        <v/>
      </c>
      <c r="R167" s="298" t="str">
        <f>IF(Tableau3384[[#This Row],[Date du paiement]]="",IF(Tableau3384[[#This Row],[jours jusqu''à l''écheance]]-($B$4-$B$11-1)&gt;0,Tableau3384[[#This Row],[Montant
CHF]],""),"")</f>
        <v/>
      </c>
      <c r="S167" s="142"/>
      <c r="T167" s="95" t="str">
        <f>IF(Tableau3384[[#This Row],[Paiements prevus]]="oui",Tableau3384[[#This Row],[Montant prevu à payer CH]],"")</f>
        <v/>
      </c>
      <c r="U167" s="129"/>
      <c r="V167" s="73"/>
      <c r="W167" s="68"/>
      <c r="X167" s="23">
        <v>45391</v>
      </c>
      <c r="Y167" s="7" t="s">
        <v>58</v>
      </c>
      <c r="Z167" s="120" t="str">
        <f>IF(Tableau3384[[#This Row],[Méthode du paiement]]="Mastercard","OUI","")</f>
        <v/>
      </c>
      <c r="AA167" s="6" t="s">
        <v>4</v>
      </c>
      <c r="AB167" s="6" t="s">
        <v>329</v>
      </c>
    </row>
    <row r="168" spans="1:28" hidden="1" x14ac:dyDescent="0.25">
      <c r="A168" s="9" t="s">
        <v>228</v>
      </c>
      <c r="B168" s="21">
        <v>45359</v>
      </c>
      <c r="C168" s="21">
        <v>45359</v>
      </c>
      <c r="D168" s="22" t="s">
        <v>22</v>
      </c>
      <c r="E168" s="11">
        <v>732.9</v>
      </c>
      <c r="F168" s="88">
        <v>8.1</v>
      </c>
      <c r="G168" s="80"/>
      <c r="H168" s="136">
        <f>Tableau3384[[#This Row],[Montant
CHF]]+Tableau3384[[#This Row],[Abzug/Spesen
CHF]]</f>
        <v>732.9</v>
      </c>
      <c r="I168" s="39"/>
      <c r="J168" s="40"/>
      <c r="K168" s="189"/>
      <c r="L168" s="298"/>
      <c r="M168" s="81"/>
      <c r="N168" s="21">
        <v>45389</v>
      </c>
      <c r="O168" s="282" t="str">
        <f>IF(Tableau3384[[#This Row],[Date du paiement]]&gt;0,"",Tableau3384[[#This Row],[Montant
CHF]])</f>
        <v/>
      </c>
      <c r="P168" s="276" t="str">
        <f>IF(Tableau3384[[#This Row],[Date du paiement]]="",$B$4-Tableau3384[[#This Row],[Écheance]],"")</f>
        <v/>
      </c>
      <c r="Q168" s="168" t="str">
        <f>IF(Tableau3384[[#This Row],[Date du paiement]]="",IF(Tableau3384[[#This Row],[jours jusqu''à l''écheance]]&gt;0,Tableau3384[[#This Row],[Montant
CHF]],""),"")</f>
        <v/>
      </c>
      <c r="R168" s="298" t="str">
        <f>IF(Tableau3384[[#This Row],[Date du paiement]]="",IF(Tableau3384[[#This Row],[jours jusqu''à l''écheance]]-($B$4-$B$11-1)&gt;0,Tableau3384[[#This Row],[Montant
CHF]],""),"")</f>
        <v/>
      </c>
      <c r="S168" s="142"/>
      <c r="T168" s="95" t="str">
        <f>IF(Tableau3384[[#This Row],[Paiements prevus]]="oui",Tableau3384[[#This Row],[Montant prevu à payer CH]],"")</f>
        <v/>
      </c>
      <c r="U168" s="129"/>
      <c r="V168" s="73"/>
      <c r="W168" s="68"/>
      <c r="X168" s="23">
        <v>45393</v>
      </c>
      <c r="Y168" s="7" t="s">
        <v>58</v>
      </c>
      <c r="Z168" s="120" t="str">
        <f>IF(Tableau3384[[#This Row],[Méthode du paiement]]="Mastercard","OUI","")</f>
        <v/>
      </c>
      <c r="AA168" s="6" t="s">
        <v>14</v>
      </c>
      <c r="AB168" s="6" t="s">
        <v>229</v>
      </c>
    </row>
    <row r="169" spans="1:28" hidden="1" x14ac:dyDescent="0.25">
      <c r="A169" s="9" t="s">
        <v>280</v>
      </c>
      <c r="B169" s="21">
        <v>45359</v>
      </c>
      <c r="C169" s="21">
        <v>45363</v>
      </c>
      <c r="D169" s="22" t="s">
        <v>279</v>
      </c>
      <c r="E169" s="11">
        <v>5000</v>
      </c>
      <c r="F169" s="88">
        <v>0</v>
      </c>
      <c r="G169" s="80"/>
      <c r="H169" s="136">
        <f>Tableau3384[[#This Row],[Montant
CHF]]+Tableau3384[[#This Row],[Abzug/Spesen
CHF]]</f>
        <v>5000</v>
      </c>
      <c r="I169" s="39"/>
      <c r="J169" s="40"/>
      <c r="K169" s="189"/>
      <c r="L169" s="298"/>
      <c r="M169" s="81"/>
      <c r="N169" s="21">
        <v>45390</v>
      </c>
      <c r="O169" s="282" t="str">
        <f>IF(Tableau3384[[#This Row],[Date du paiement]]&gt;0,"",Tableau3384[[#This Row],[Montant
CHF]])</f>
        <v/>
      </c>
      <c r="P169" s="276" t="str">
        <f>IF(Tableau3384[[#This Row],[Date du paiement]]="",$B$4-Tableau3384[[#This Row],[Écheance]],"")</f>
        <v/>
      </c>
      <c r="Q169" s="168" t="str">
        <f>IF(Tableau3384[[#This Row],[Date du paiement]]="",IF(Tableau3384[[#This Row],[jours jusqu''à l''écheance]]&gt;0,Tableau3384[[#This Row],[Montant
CHF]],""),"")</f>
        <v/>
      </c>
      <c r="R169" s="298" t="str">
        <f>IF(Tableau3384[[#This Row],[Date du paiement]]="",IF(Tableau3384[[#This Row],[jours jusqu''à l''écheance]]-($B$4-$B$11-1)&gt;0,Tableau3384[[#This Row],[Montant
CHF]],""),"")</f>
        <v/>
      </c>
      <c r="S169" s="142"/>
      <c r="T169" s="95" t="str">
        <f>IF(Tableau3384[[#This Row],[Paiements prevus]]="oui",Tableau3384[[#This Row],[Montant prevu à payer CH]],"")</f>
        <v/>
      </c>
      <c r="U169" s="129"/>
      <c r="V169" s="73"/>
      <c r="W169" s="68"/>
      <c r="X169" s="23">
        <v>45379</v>
      </c>
      <c r="Y169" s="7" t="s">
        <v>58</v>
      </c>
      <c r="Z169" s="120" t="str">
        <f>IF(Tableau3384[[#This Row],[Méthode du paiement]]="Mastercard","OUI","")</f>
        <v/>
      </c>
      <c r="AA169" s="6" t="s">
        <v>332</v>
      </c>
      <c r="AB169" s="6" t="s">
        <v>283</v>
      </c>
    </row>
    <row r="170" spans="1:28" hidden="1" x14ac:dyDescent="0.25">
      <c r="A170" s="9" t="s">
        <v>281</v>
      </c>
      <c r="B170" s="21">
        <v>45359</v>
      </c>
      <c r="C170" s="21">
        <v>45363</v>
      </c>
      <c r="D170" s="22" t="s">
        <v>279</v>
      </c>
      <c r="E170" s="11">
        <v>5000</v>
      </c>
      <c r="F170" s="88">
        <v>0</v>
      </c>
      <c r="G170" s="80"/>
      <c r="H170" s="136">
        <f>Tableau3384[[#This Row],[Montant
CHF]]+Tableau3384[[#This Row],[Abzug/Spesen
CHF]]</f>
        <v>5000</v>
      </c>
      <c r="I170" s="39"/>
      <c r="J170" s="40"/>
      <c r="K170" s="189"/>
      <c r="L170" s="298"/>
      <c r="M170" s="81"/>
      <c r="N170" s="21">
        <v>45390</v>
      </c>
      <c r="O170" s="282" t="str">
        <f>IF(Tableau3384[[#This Row],[Date du paiement]]&gt;0,"",Tableau3384[[#This Row],[Montant
CHF]])</f>
        <v/>
      </c>
      <c r="P170" s="276" t="str">
        <f>IF(Tableau3384[[#This Row],[Date du paiement]]="",$B$4-Tableau3384[[#This Row],[Écheance]],"")</f>
        <v/>
      </c>
      <c r="Q170" s="168" t="str">
        <f>IF(Tableau3384[[#This Row],[Date du paiement]]="",IF(Tableau3384[[#This Row],[jours jusqu''à l''écheance]]&gt;0,Tableau3384[[#This Row],[Montant
CHF]],""),"")</f>
        <v/>
      </c>
      <c r="R170" s="298" t="str">
        <f>IF(Tableau3384[[#This Row],[Date du paiement]]="",IF(Tableau3384[[#This Row],[jours jusqu''à l''écheance]]-($B$4-$B$11-1)&gt;0,Tableau3384[[#This Row],[Montant
CHF]],""),"")</f>
        <v/>
      </c>
      <c r="S170" s="142"/>
      <c r="T170" s="95" t="str">
        <f>IF(Tableau3384[[#This Row],[Paiements prevus]]="oui",Tableau3384[[#This Row],[Montant prevu à payer CH]],"")</f>
        <v/>
      </c>
      <c r="U170" s="129"/>
      <c r="V170" s="73"/>
      <c r="W170" s="68"/>
      <c r="X170" s="23">
        <v>45379</v>
      </c>
      <c r="Y170" s="7" t="s">
        <v>58</v>
      </c>
      <c r="Z170" s="120" t="str">
        <f>IF(Tableau3384[[#This Row],[Méthode du paiement]]="Mastercard","OUI","")</f>
        <v/>
      </c>
      <c r="AA170" s="6" t="s">
        <v>332</v>
      </c>
      <c r="AB170" s="6" t="s">
        <v>284</v>
      </c>
    </row>
    <row r="171" spans="1:28" hidden="1" x14ac:dyDescent="0.25">
      <c r="A171" s="9" t="s">
        <v>485</v>
      </c>
      <c r="B171" s="21">
        <v>45359</v>
      </c>
      <c r="C171" s="21">
        <v>45400</v>
      </c>
      <c r="D171" s="22" t="s">
        <v>486</v>
      </c>
      <c r="E171" s="11">
        <v>600.25</v>
      </c>
      <c r="F171" s="88">
        <v>0</v>
      </c>
      <c r="G171" s="80"/>
      <c r="H171" s="136">
        <f>Tableau3384[[#This Row],[Montant
CHF]]+Tableau3384[[#This Row],[Abzug/Spesen
CHF]]</f>
        <v>600.25</v>
      </c>
      <c r="I171" s="39">
        <v>1</v>
      </c>
      <c r="J171" s="38">
        <v>626.38</v>
      </c>
      <c r="K171" s="38"/>
      <c r="L171" s="298"/>
      <c r="M171" s="81"/>
      <c r="N171" s="21">
        <v>45359</v>
      </c>
      <c r="O171" s="282" t="str">
        <f>IF(Tableau3384[[#This Row],[Date du paiement]]&gt;0,"",Tableau3384[[#This Row],[Montant
CHF]])</f>
        <v/>
      </c>
      <c r="P171" s="276" t="str">
        <f>IF(Tableau3384[[#This Row],[Date du paiement]]="",$B$4-Tableau3384[[#This Row],[Écheance]],"")</f>
        <v/>
      </c>
      <c r="Q171" s="168" t="str">
        <f>IF(Tableau3384[[#This Row],[Date du paiement]]="",IF(Tableau3384[[#This Row],[jours jusqu''à l''écheance]]&gt;0,Tableau3384[[#This Row],[Montant
CHF]],""),"")</f>
        <v/>
      </c>
      <c r="R171" s="298" t="str">
        <f>IF(Tableau3384[[#This Row],[Date du paiement]]="",IF(Tableau3384[[#This Row],[jours jusqu''à l''écheance]]-($B$4-$B$11-1)&gt;0,Tableau3384[[#This Row],[Montant
CHF]],""),"")</f>
        <v/>
      </c>
      <c r="S171" s="142"/>
      <c r="T171" s="95" t="str">
        <f>IF(Tableau3384[[#This Row],[Paiements prevus]]="oui",Tableau3384[[#This Row],[Montant prevu à payer CH]],"")</f>
        <v/>
      </c>
      <c r="U171" s="129"/>
      <c r="V171" s="73"/>
      <c r="W171" s="68"/>
      <c r="X171" s="23">
        <v>45359</v>
      </c>
      <c r="Y171" s="7" t="s">
        <v>105</v>
      </c>
      <c r="Z171" s="120" t="str">
        <f>IF(Tableau3384[[#This Row],[Méthode du paiement]]="Mastercard","OUI","")</f>
        <v>OUI</v>
      </c>
      <c r="AA171" s="6" t="s">
        <v>14</v>
      </c>
      <c r="AB171" s="6" t="s">
        <v>487</v>
      </c>
    </row>
    <row r="172" spans="1:28" hidden="1" x14ac:dyDescent="0.25">
      <c r="A172" s="9" t="s">
        <v>314</v>
      </c>
      <c r="B172" s="21">
        <v>45362</v>
      </c>
      <c r="C172" s="21">
        <v>45362</v>
      </c>
      <c r="D172" s="22" t="s">
        <v>216</v>
      </c>
      <c r="E172" s="11">
        <v>416.6</v>
      </c>
      <c r="F172" s="88">
        <v>100</v>
      </c>
      <c r="G172" s="80"/>
      <c r="H172" s="136">
        <f>Tableau3384[[#This Row],[Montant
CHF]]+Tableau3384[[#This Row],[Abzug/Spesen
CHF]]</f>
        <v>416.6</v>
      </c>
      <c r="I172" s="39"/>
      <c r="J172" s="40"/>
      <c r="K172" s="189"/>
      <c r="L172" s="298"/>
      <c r="M172" s="81"/>
      <c r="N172" s="21">
        <f>Tableau3384[[#This Row],[Date de 
la facture]]+60</f>
        <v>45422</v>
      </c>
      <c r="O172" s="282" t="str">
        <f>IF(Tableau3384[[#This Row],[Date du paiement]]&gt;0,"",Tableau3384[[#This Row],[Montant
CHF]])</f>
        <v/>
      </c>
      <c r="P172" s="276" t="str">
        <f>IF(Tableau3384[[#This Row],[Date du paiement]]="",$B$4-Tableau3384[[#This Row],[Écheance]],"")</f>
        <v/>
      </c>
      <c r="Q172" s="168" t="str">
        <f>IF(Tableau3384[[#This Row],[Date du paiement]]="",IF(Tableau3384[[#This Row],[jours jusqu''à l''écheance]]&gt;0,Tableau3384[[#This Row],[Montant
CHF]],""),"")</f>
        <v/>
      </c>
      <c r="R172" s="298" t="str">
        <f>IF(Tableau3384[[#This Row],[Date du paiement]]="",IF(Tableau3384[[#This Row],[jours jusqu''à l''écheance]]-($B$4-$B$11-1)&gt;0,Tableau3384[[#This Row],[Montant
CHF]],""),"")</f>
        <v/>
      </c>
      <c r="S172" s="142"/>
      <c r="T172" s="95" t="str">
        <f>IF(Tableau3384[[#This Row],[Paiements prevus]]="oui",Tableau3384[[#This Row],[Montant prevu à payer CH]],"")</f>
        <v/>
      </c>
      <c r="U172" s="129"/>
      <c r="V172" s="73"/>
      <c r="W172" s="68"/>
      <c r="X172" s="23">
        <v>45422</v>
      </c>
      <c r="Y172" s="7" t="s">
        <v>58</v>
      </c>
      <c r="Z172" s="120" t="str">
        <f>IF(Tableau3384[[#This Row],[Méthode du paiement]]="Mastercard","OUI","")</f>
        <v/>
      </c>
      <c r="AA172" s="6" t="s">
        <v>604</v>
      </c>
      <c r="AB172" s="6" t="s">
        <v>249</v>
      </c>
    </row>
    <row r="173" spans="1:28" hidden="1" x14ac:dyDescent="0.25">
      <c r="A173" s="9" t="s">
        <v>288</v>
      </c>
      <c r="B173" s="21">
        <v>45362</v>
      </c>
      <c r="C173" s="21">
        <v>45366</v>
      </c>
      <c r="D173" s="22" t="s">
        <v>10</v>
      </c>
      <c r="E173" s="11">
        <v>188.65</v>
      </c>
      <c r="F173" s="88">
        <v>8.1</v>
      </c>
      <c r="G173" s="80"/>
      <c r="H173" s="136">
        <f>Tableau3384[[#This Row],[Montant
CHF]]+Tableau3384[[#This Row],[Abzug/Spesen
CHF]]</f>
        <v>188.65</v>
      </c>
      <c r="I173" s="39"/>
      <c r="J173" s="40"/>
      <c r="K173" s="189"/>
      <c r="L173" s="298"/>
      <c r="M173" s="81"/>
      <c r="N173" s="21">
        <v>45393</v>
      </c>
      <c r="O173" s="282" t="str">
        <f>IF(Tableau3384[[#This Row],[Date du paiement]]&gt;0,"",Tableau3384[[#This Row],[Montant
CHF]])</f>
        <v/>
      </c>
      <c r="P173" s="276" t="str">
        <f>IF(Tableau3384[[#This Row],[Date du paiement]]="",$B$4-Tableau3384[[#This Row],[Écheance]],"")</f>
        <v/>
      </c>
      <c r="Q173" s="168" t="str">
        <f>IF(Tableau3384[[#This Row],[Date du paiement]]="",IF(Tableau3384[[#This Row],[jours jusqu''à l''écheance]]&gt;0,Tableau3384[[#This Row],[Montant
CHF]],""),"")</f>
        <v/>
      </c>
      <c r="R173" s="298" t="str">
        <f>IF(Tableau3384[[#This Row],[Date du paiement]]="",IF(Tableau3384[[#This Row],[jours jusqu''à l''écheance]]-($B$4-$B$11-1)&gt;0,Tableau3384[[#This Row],[Montant
CHF]],""),"")</f>
        <v/>
      </c>
      <c r="S173" s="142"/>
      <c r="T173" s="95" t="str">
        <f>IF(Tableau3384[[#This Row],[Paiements prevus]]="oui",Tableau3384[[#This Row],[Montant prevu à payer CH]],"")</f>
        <v/>
      </c>
      <c r="U173" s="129"/>
      <c r="V173" s="73"/>
      <c r="W173" s="68"/>
      <c r="X173" s="23">
        <v>45404</v>
      </c>
      <c r="Y173" s="7" t="s">
        <v>58</v>
      </c>
      <c r="Z173" s="120" t="str">
        <f>IF(Tableau3384[[#This Row],[Méthode du paiement]]="Mastercard","OUI","")</f>
        <v/>
      </c>
      <c r="AA173" s="6" t="s">
        <v>294</v>
      </c>
      <c r="AB173" s="6" t="s">
        <v>290</v>
      </c>
    </row>
    <row r="174" spans="1:28" hidden="1" x14ac:dyDescent="0.25">
      <c r="A174" s="9" t="s">
        <v>330</v>
      </c>
      <c r="B174" s="21">
        <v>45363</v>
      </c>
      <c r="C174" s="21">
        <v>45363</v>
      </c>
      <c r="D174" s="22" t="s">
        <v>253</v>
      </c>
      <c r="E174" s="11">
        <f>Tableau3384[[#This Row],[Montant
EUR]]*Tableau3384[[#This Row],[Taux 
de change]]</f>
        <v>-46.354642500000004</v>
      </c>
      <c r="F174" s="88">
        <v>0</v>
      </c>
      <c r="G174" s="80"/>
      <c r="H174" s="136">
        <f>Tableau3384[[#This Row],[Montant
CHF]]+Tableau3384[[#This Row],[Abzug/Spesen
CHF]]</f>
        <v>-46.354642500000004</v>
      </c>
      <c r="I174" s="39">
        <v>0.98417500000000002</v>
      </c>
      <c r="J174" s="40">
        <v>-47.1</v>
      </c>
      <c r="K174" s="189"/>
      <c r="L174" s="298"/>
      <c r="M174" s="81"/>
      <c r="N174" s="21">
        <v>45363</v>
      </c>
      <c r="O174" s="282" t="str">
        <f>IF(Tableau3384[[#This Row],[Date du paiement]]&gt;0,"",Tableau3384[[#This Row],[Montant
CHF]])</f>
        <v/>
      </c>
      <c r="P174" s="276" t="str">
        <f>IF(Tableau3384[[#This Row],[Date du paiement]]="",$B$4-Tableau3384[[#This Row],[Écheance]],"")</f>
        <v/>
      </c>
      <c r="Q174" s="168" t="str">
        <f>IF(Tableau3384[[#This Row],[Date du paiement]]="",IF(Tableau3384[[#This Row],[jours jusqu''à l''écheance]]&gt;0,Tableau3384[[#This Row],[Montant
CHF]],""),"")</f>
        <v/>
      </c>
      <c r="R174" s="298" t="str">
        <f>IF(Tableau3384[[#This Row],[Date du paiement]]="",IF(Tableau3384[[#This Row],[jours jusqu''à l''écheance]]-($B$4-$B$11-1)&gt;0,Tableau3384[[#This Row],[Montant
CHF]],""),"")</f>
        <v/>
      </c>
      <c r="S174" s="142"/>
      <c r="T174" s="95" t="str">
        <f>IF(Tableau3384[[#This Row],[Paiements prevus]]="oui",Tableau3384[[#This Row],[Montant prevu à payer CH]],"")</f>
        <v/>
      </c>
      <c r="U174" s="129"/>
      <c r="V174" s="73"/>
      <c r="W174" s="68"/>
      <c r="X174" s="23">
        <v>45392</v>
      </c>
      <c r="Y174" s="7" t="s">
        <v>58</v>
      </c>
      <c r="Z174" s="120" t="str">
        <f>IF(Tableau3384[[#This Row],[Méthode du paiement]]="Mastercard","OUI","")</f>
        <v/>
      </c>
      <c r="AA174" s="6" t="s">
        <v>14</v>
      </c>
      <c r="AB174" s="6" t="s">
        <v>331</v>
      </c>
    </row>
    <row r="175" spans="1:28" hidden="1" x14ac:dyDescent="0.25">
      <c r="A175" s="9" t="s">
        <v>272</v>
      </c>
      <c r="B175" s="21">
        <v>45363</v>
      </c>
      <c r="C175" s="21">
        <v>45363</v>
      </c>
      <c r="D175" s="22" t="s">
        <v>25</v>
      </c>
      <c r="E175" s="11">
        <v>40</v>
      </c>
      <c r="F175" s="88">
        <v>0</v>
      </c>
      <c r="G175" s="80"/>
      <c r="H175" s="136">
        <f>Tableau3384[[#This Row],[Montant
CHF]]+Tableau3384[[#This Row],[Abzug/Spesen
CHF]]</f>
        <v>40</v>
      </c>
      <c r="I175" s="39"/>
      <c r="J175" s="40"/>
      <c r="K175" s="189"/>
      <c r="L175" s="298"/>
      <c r="M175" s="81"/>
      <c r="N175" s="21">
        <v>45384</v>
      </c>
      <c r="O175" s="282" t="str">
        <f>IF(Tableau3384[[#This Row],[Date du paiement]]&gt;0,"",Tableau3384[[#This Row],[Montant
CHF]])</f>
        <v/>
      </c>
      <c r="P175" s="276" t="str">
        <f>IF(Tableau3384[[#This Row],[Date du paiement]]="",$B$4-Tableau3384[[#This Row],[Écheance]],"")</f>
        <v/>
      </c>
      <c r="Q175" s="168" t="str">
        <f>IF(Tableau3384[[#This Row],[Date du paiement]]="",IF(Tableau3384[[#This Row],[jours jusqu''à l''écheance]]&gt;0,Tableau3384[[#This Row],[Montant
CHF]],""),"")</f>
        <v/>
      </c>
      <c r="R175" s="298" t="str">
        <f>IF(Tableau3384[[#This Row],[Date du paiement]]="",IF(Tableau3384[[#This Row],[jours jusqu''à l''écheance]]-($B$4-$B$11-1)&gt;0,Tableau3384[[#This Row],[Montant
CHF]],""),"")</f>
        <v/>
      </c>
      <c r="S175" s="142"/>
      <c r="T175" s="95" t="str">
        <f>IF(Tableau3384[[#This Row],[Paiements prevus]]="oui",Tableau3384[[#This Row],[Montant prevu à payer CH]],"")</f>
        <v/>
      </c>
      <c r="U175" s="129"/>
      <c r="V175" s="73"/>
      <c r="W175" s="68"/>
      <c r="X175" s="23">
        <v>45398</v>
      </c>
      <c r="Y175" s="7" t="s">
        <v>58</v>
      </c>
      <c r="Z175" s="120" t="str">
        <f>IF(Tableau3384[[#This Row],[Méthode du paiement]]="Mastercard","OUI","")</f>
        <v/>
      </c>
      <c r="AA175" s="6" t="s">
        <v>26</v>
      </c>
      <c r="AB175" s="6" t="s">
        <v>273</v>
      </c>
    </row>
    <row r="176" spans="1:28" hidden="1" x14ac:dyDescent="0.25">
      <c r="A176" s="9" t="s">
        <v>255</v>
      </c>
      <c r="B176" s="21">
        <v>45363</v>
      </c>
      <c r="C176" s="21">
        <v>45363</v>
      </c>
      <c r="D176" s="22" t="s">
        <v>256</v>
      </c>
      <c r="E176" s="11">
        <v>52.5</v>
      </c>
      <c r="F176" s="88">
        <v>8.1</v>
      </c>
      <c r="G176" s="80"/>
      <c r="H176" s="136">
        <f>Tableau3384[[#This Row],[Montant
CHF]]+Tableau3384[[#This Row],[Abzug/Spesen
CHF]]</f>
        <v>52.5</v>
      </c>
      <c r="I176" s="39"/>
      <c r="J176" s="40"/>
      <c r="K176" s="189"/>
      <c r="L176" s="298"/>
      <c r="M176" s="81"/>
      <c r="N176" s="21">
        <v>45394</v>
      </c>
      <c r="O176" s="282" t="str">
        <f>IF(Tableau3384[[#This Row],[Date du paiement]]&gt;0,"",Tableau3384[[#This Row],[Montant
CHF]])</f>
        <v/>
      </c>
      <c r="P176" s="276" t="str">
        <f>IF(Tableau3384[[#This Row],[Date du paiement]]="",$B$4-Tableau3384[[#This Row],[Écheance]],"")</f>
        <v/>
      </c>
      <c r="Q176" s="168" t="str">
        <f>IF(Tableau3384[[#This Row],[Date du paiement]]="",IF(Tableau3384[[#This Row],[jours jusqu''à l''écheance]]&gt;0,Tableau3384[[#This Row],[Montant
CHF]],""),"")</f>
        <v/>
      </c>
      <c r="R176" s="298" t="str">
        <f>IF(Tableau3384[[#This Row],[Date du paiement]]="",IF(Tableau3384[[#This Row],[jours jusqu''à l''écheance]]-($B$4-$B$11-1)&gt;0,Tableau3384[[#This Row],[Montant
CHF]],""),"")</f>
        <v/>
      </c>
      <c r="S176" s="142"/>
      <c r="T176" s="95" t="str">
        <f>IF(Tableau3384[[#This Row],[Paiements prevus]]="oui",Tableau3384[[#This Row],[Montant prevu à payer CH]],"")</f>
        <v/>
      </c>
      <c r="U176" s="129"/>
      <c r="V176" s="73"/>
      <c r="W176" s="68"/>
      <c r="X176" s="23">
        <v>45398</v>
      </c>
      <c r="Y176" s="7" t="s">
        <v>58</v>
      </c>
      <c r="Z176" s="120" t="str">
        <f>IF(Tableau3384[[#This Row],[Méthode du paiement]]="Mastercard","OUI","")</f>
        <v/>
      </c>
      <c r="AA176" s="6" t="s">
        <v>14</v>
      </c>
      <c r="AB176" s="6" t="s">
        <v>257</v>
      </c>
    </row>
    <row r="177" spans="1:35" hidden="1" x14ac:dyDescent="0.25">
      <c r="A177" s="9" t="s">
        <v>222</v>
      </c>
      <c r="B177" s="21">
        <v>45363</v>
      </c>
      <c r="C177" s="21">
        <v>45363</v>
      </c>
      <c r="D177" s="22" t="s">
        <v>223</v>
      </c>
      <c r="E177" s="11">
        <v>1448.54</v>
      </c>
      <c r="F177" s="88">
        <v>8.1</v>
      </c>
      <c r="G177" s="80"/>
      <c r="H177" s="136">
        <f>Tableau3384[[#This Row],[Montant
CHF]]+Tableau3384[[#This Row],[Abzug/Spesen
CHF]]</f>
        <v>1448.54</v>
      </c>
      <c r="I177" s="39"/>
      <c r="J177" s="40"/>
      <c r="K177" s="189"/>
      <c r="L177" s="298"/>
      <c r="M177" s="81"/>
      <c r="N177" s="21">
        <v>45373</v>
      </c>
      <c r="O177" s="282" t="str">
        <f>IF(Tableau3384[[#This Row],[Date du paiement]]&gt;0,"",Tableau3384[[#This Row],[Montant
CHF]])</f>
        <v/>
      </c>
      <c r="P177" s="276" t="str">
        <f>IF(Tableau3384[[#This Row],[Date du paiement]]="",$B$4-Tableau3384[[#This Row],[Écheance]],"")</f>
        <v/>
      </c>
      <c r="Q177" s="168" t="str">
        <f>IF(Tableau3384[[#This Row],[Date du paiement]]="",IF(Tableau3384[[#This Row],[jours jusqu''à l''écheance]]&gt;0,Tableau3384[[#This Row],[Montant
CHF]],""),"")</f>
        <v/>
      </c>
      <c r="R177" s="298" t="str">
        <f>IF(Tableau3384[[#This Row],[Date du paiement]]="",IF(Tableau3384[[#This Row],[jours jusqu''à l''écheance]]-($B$4-$B$11-1)&gt;0,Tableau3384[[#This Row],[Montant
CHF]],""),"")</f>
        <v/>
      </c>
      <c r="S177" s="142"/>
      <c r="T177" s="95" t="str">
        <f>IF(Tableau3384[[#This Row],[Paiements prevus]]="oui",Tableau3384[[#This Row],[Montant prevu à payer CH]],"")</f>
        <v/>
      </c>
      <c r="U177" s="129"/>
      <c r="V177" s="73"/>
      <c r="W177" s="68"/>
      <c r="X177" s="23">
        <v>45407</v>
      </c>
      <c r="Y177" s="7" t="s">
        <v>58</v>
      </c>
      <c r="Z177" s="120" t="str">
        <f>IF(Tableau3384[[#This Row],[Méthode du paiement]]="Mastercard","OUI","")</f>
        <v/>
      </c>
      <c r="AA177" s="6" t="s">
        <v>43</v>
      </c>
      <c r="AB177" s="6" t="s">
        <v>224</v>
      </c>
    </row>
    <row r="178" spans="1:35" hidden="1" x14ac:dyDescent="0.25">
      <c r="A178" s="9" t="s">
        <v>56</v>
      </c>
      <c r="B178" s="21">
        <v>45363</v>
      </c>
      <c r="C178" s="21">
        <v>45369</v>
      </c>
      <c r="D178" s="22" t="s">
        <v>57</v>
      </c>
      <c r="E178" s="11">
        <f>2799.3-610.65</f>
        <v>2188.65</v>
      </c>
      <c r="F178" s="88" t="s">
        <v>0</v>
      </c>
      <c r="G178" s="80"/>
      <c r="H178" s="136">
        <f>Tableau3384[[#This Row],[Montant
CHF]]+Tableau3384[[#This Row],[Abzug/Spesen
CHF]]</f>
        <v>2188.65</v>
      </c>
      <c r="I178" s="39"/>
      <c r="J178" s="40"/>
      <c r="K178" s="189"/>
      <c r="L178" s="298"/>
      <c r="M178" s="81"/>
      <c r="N178" s="21">
        <v>45369</v>
      </c>
      <c r="O178" s="282" t="str">
        <f>IF(Tableau3384[[#This Row],[Date du paiement]]&gt;0,"",Tableau3384[[#This Row],[Montant
CHF]])</f>
        <v/>
      </c>
      <c r="P178" s="276" t="str">
        <f>IF(Tableau3384[[#This Row],[Date du paiement]]="",$B$4-Tableau3384[[#This Row],[Écheance]],"")</f>
        <v/>
      </c>
      <c r="Q178" s="168" t="str">
        <f>IF(Tableau3384[[#This Row],[Date du paiement]]="",IF(Tableau3384[[#This Row],[jours jusqu''à l''écheance]]&gt;0,Tableau3384[[#This Row],[Montant
CHF]],""),"")</f>
        <v/>
      </c>
      <c r="R178" s="298" t="str">
        <f>IF(Tableau3384[[#This Row],[Date du paiement]]="",IF(Tableau3384[[#This Row],[jours jusqu''à l''écheance]]-($B$4-$B$11-1)&gt;0,Tableau3384[[#This Row],[Montant
CHF]],""),"")</f>
        <v/>
      </c>
      <c r="S178" s="142"/>
      <c r="T178" s="95" t="str">
        <f>IF(Tableau3384[[#This Row],[Paiements prevus]]="oui",Tableau3384[[#This Row],[Montant prevu à payer CH]],"")</f>
        <v/>
      </c>
      <c r="U178" s="129"/>
      <c r="V178" s="73"/>
      <c r="W178" s="68"/>
      <c r="X178" s="23">
        <v>45378</v>
      </c>
      <c r="Y178" s="7" t="s">
        <v>58</v>
      </c>
      <c r="Z178" s="120" t="str">
        <f>IF(Tableau3384[[#This Row],[Méthode du paiement]]="Mastercard","OUI","")</f>
        <v/>
      </c>
      <c r="AA178" s="6" t="s">
        <v>43</v>
      </c>
      <c r="AB178" s="6" t="s">
        <v>99</v>
      </c>
    </row>
    <row r="179" spans="1:35" hidden="1" x14ac:dyDescent="0.25">
      <c r="A179" s="9" t="s">
        <v>422</v>
      </c>
      <c r="B179" s="21">
        <v>45364</v>
      </c>
      <c r="C179" s="21">
        <v>45364</v>
      </c>
      <c r="D179" s="22" t="s">
        <v>196</v>
      </c>
      <c r="E179" s="11">
        <v>923</v>
      </c>
      <c r="F179" s="88">
        <v>8.1</v>
      </c>
      <c r="G179" s="80"/>
      <c r="H179" s="136">
        <f>Tableau3384[[#This Row],[Montant
CHF]]+Tableau3384[[#This Row],[Abzug/Spesen
CHF]]</f>
        <v>923</v>
      </c>
      <c r="I179" s="39"/>
      <c r="J179" s="40"/>
      <c r="K179" s="189"/>
      <c r="L179" s="298"/>
      <c r="M179" s="81"/>
      <c r="N179" s="21">
        <v>45374</v>
      </c>
      <c r="O179" s="282" t="str">
        <f>IF(Tableau3384[[#This Row],[Date du paiement]]&gt;0,"",Tableau3384[[#This Row],[Montant
CHF]])</f>
        <v/>
      </c>
      <c r="P179" s="276" t="str">
        <f>IF(Tableau3384[[#This Row],[Date du paiement]]="",$B$4-Tableau3384[[#This Row],[Écheance]],"")</f>
        <v/>
      </c>
      <c r="Q179" s="168" t="str">
        <f>IF(Tableau3384[[#This Row],[Date du paiement]]="",IF(Tableau3384[[#This Row],[jours jusqu''à l''écheance]]&gt;0,Tableau3384[[#This Row],[Montant
CHF]],""),"")</f>
        <v/>
      </c>
      <c r="R179" s="298" t="str">
        <f>IF(Tableau3384[[#This Row],[Date du paiement]]="",IF(Tableau3384[[#This Row],[jours jusqu''à l''écheance]]-($B$4-$B$11-1)&gt;0,Tableau3384[[#This Row],[Montant
CHF]],""),"")</f>
        <v/>
      </c>
      <c r="S179" s="142"/>
      <c r="T179" s="95" t="str">
        <f>IF(Tableau3384[[#This Row],[Paiements prevus]]="oui",Tableau3384[[#This Row],[Montant prevu à payer CH]],"")</f>
        <v/>
      </c>
      <c r="U179" s="129"/>
      <c r="V179" s="73"/>
      <c r="W179" s="68"/>
      <c r="X179" s="23">
        <v>45398</v>
      </c>
      <c r="Y179" s="7" t="s">
        <v>58</v>
      </c>
      <c r="Z179" s="120" t="str">
        <f>IF(Tableau3384[[#This Row],[Méthode du paiement]]="Mastercard","OUI","")</f>
        <v/>
      </c>
      <c r="AA179" s="6" t="s">
        <v>4</v>
      </c>
      <c r="AB179" s="6" t="s">
        <v>423</v>
      </c>
    </row>
    <row r="180" spans="1:35" hidden="1" x14ac:dyDescent="0.25">
      <c r="A180" s="9" t="s">
        <v>275</v>
      </c>
      <c r="B180" s="21">
        <v>45364</v>
      </c>
      <c r="C180" s="21">
        <v>45364</v>
      </c>
      <c r="D180" s="22" t="s">
        <v>117</v>
      </c>
      <c r="E180" s="11">
        <f>Tableau3384[[#This Row],[Montant
EUR]]*Tableau3384[[#This Row],[Taux 
de change]]</f>
        <v>1172.1695999999999</v>
      </c>
      <c r="F180" s="88">
        <v>0</v>
      </c>
      <c r="G180" s="80"/>
      <c r="H180" s="136">
        <f>Tableau3384[[#This Row],[Montant
CHF]]+Tableau3384[[#This Row],[Abzug/Spesen
CHF]]</f>
        <v>1172.1695999999999</v>
      </c>
      <c r="I180" s="39">
        <v>0.97680800000000001</v>
      </c>
      <c r="J180" s="40">
        <v>1200</v>
      </c>
      <c r="K180" s="189"/>
      <c r="L180" s="298"/>
      <c r="M180" s="81"/>
      <c r="N180" s="21">
        <v>45395</v>
      </c>
      <c r="O180" s="282" t="str">
        <f>IF(Tableau3384[[#This Row],[Date du paiement]]&gt;0,"",Tableau3384[[#This Row],[Montant
CHF]])</f>
        <v/>
      </c>
      <c r="P180" s="276" t="str">
        <f>IF(Tableau3384[[#This Row],[Date du paiement]]="",$B$4-Tableau3384[[#This Row],[Écheance]],"")</f>
        <v/>
      </c>
      <c r="Q180" s="168" t="str">
        <f>IF(Tableau3384[[#This Row],[Date du paiement]]="",IF(Tableau3384[[#This Row],[jours jusqu''à l''écheance]]&gt;0,Tableau3384[[#This Row],[Montant
CHF]],""),"")</f>
        <v/>
      </c>
      <c r="R180" s="298" t="str">
        <f>IF(Tableau3384[[#This Row],[Date du paiement]]="",IF(Tableau3384[[#This Row],[jours jusqu''à l''écheance]]-($B$4-$B$11-1)&gt;0,Tableau3384[[#This Row],[Montant
CHF]],""),"")</f>
        <v/>
      </c>
      <c r="S180" s="142"/>
      <c r="T180" s="95" t="str">
        <f>IF(Tableau3384[[#This Row],[Paiements prevus]]="oui",Tableau3384[[#This Row],[Montant prevu à payer CH]],"")</f>
        <v/>
      </c>
      <c r="U180" s="129"/>
      <c r="V180" s="73"/>
      <c r="W180" s="68"/>
      <c r="X180" s="23">
        <v>45398</v>
      </c>
      <c r="Y180" s="7" t="s">
        <v>58</v>
      </c>
      <c r="Z180" s="120" t="str">
        <f>IF(Tableau3384[[#This Row],[Méthode du paiement]]="Mastercard","OUI","")</f>
        <v/>
      </c>
      <c r="AA180" s="6" t="s">
        <v>11</v>
      </c>
      <c r="AB180" s="6" t="s">
        <v>243</v>
      </c>
    </row>
    <row r="181" spans="1:35" hidden="1" x14ac:dyDescent="0.25">
      <c r="A181" s="9" t="s">
        <v>298</v>
      </c>
      <c r="B181" s="21">
        <v>45364</v>
      </c>
      <c r="C181" s="21">
        <v>45364</v>
      </c>
      <c r="D181" s="22" t="s">
        <v>299</v>
      </c>
      <c r="E181" s="11">
        <v>349</v>
      </c>
      <c r="F181" s="88">
        <v>8.1</v>
      </c>
      <c r="G181" s="80"/>
      <c r="H181" s="136">
        <f>Tableau3384[[#This Row],[Montant
CHF]]+Tableau3384[[#This Row],[Abzug/Spesen
CHF]]</f>
        <v>349</v>
      </c>
      <c r="I181" s="39"/>
      <c r="J181" s="40"/>
      <c r="K181" s="189"/>
      <c r="L181" s="298"/>
      <c r="M181" s="81"/>
      <c r="N181" s="21">
        <v>45394</v>
      </c>
      <c r="O181" s="282" t="str">
        <f>IF(Tableau3384[[#This Row],[Date du paiement]]&gt;0,"",Tableau3384[[#This Row],[Montant
CHF]])</f>
        <v/>
      </c>
      <c r="P181" s="276" t="str">
        <f>IF(Tableau3384[[#This Row],[Date du paiement]]="",$B$4-Tableau3384[[#This Row],[Écheance]],"")</f>
        <v/>
      </c>
      <c r="Q181" s="168" t="str">
        <f>IF(Tableau3384[[#This Row],[Date du paiement]]="",IF(Tableau3384[[#This Row],[jours jusqu''à l''écheance]]&gt;0,Tableau3384[[#This Row],[Montant
CHF]],""),"")</f>
        <v/>
      </c>
      <c r="R181" s="298" t="str">
        <f>IF(Tableau3384[[#This Row],[Date du paiement]]="",IF(Tableau3384[[#This Row],[jours jusqu''à l''écheance]]-($B$4-$B$11-1)&gt;0,Tableau3384[[#This Row],[Montant
CHF]],""),"")</f>
        <v/>
      </c>
      <c r="S181" s="142"/>
      <c r="T181" s="95" t="str">
        <f>IF(Tableau3384[[#This Row],[Paiements prevus]]="oui",Tableau3384[[#This Row],[Montant prevu à payer CH]],"")</f>
        <v/>
      </c>
      <c r="U181" s="129"/>
      <c r="V181" s="73"/>
      <c r="W181" s="68"/>
      <c r="X181" s="23">
        <v>45398</v>
      </c>
      <c r="Y181" s="7" t="s">
        <v>58</v>
      </c>
      <c r="Z181" s="120" t="str">
        <f>IF(Tableau3384[[#This Row],[Méthode du paiement]]="Mastercard","OUI","")</f>
        <v/>
      </c>
      <c r="AA181" s="6" t="s">
        <v>43</v>
      </c>
      <c r="AB181" s="6" t="s">
        <v>300</v>
      </c>
      <c r="AC181" s="5"/>
      <c r="AD181" s="5"/>
      <c r="AE181" s="5"/>
      <c r="AF181" s="5"/>
      <c r="AG181" s="5"/>
      <c r="AH181" s="5"/>
      <c r="AI181" s="5"/>
    </row>
    <row r="182" spans="1:35" hidden="1" x14ac:dyDescent="0.25">
      <c r="A182" s="9" t="s">
        <v>301</v>
      </c>
      <c r="B182" s="21">
        <v>45364</v>
      </c>
      <c r="C182" s="21">
        <v>45364</v>
      </c>
      <c r="D182" s="22" t="s">
        <v>299</v>
      </c>
      <c r="E182" s="11">
        <v>103</v>
      </c>
      <c r="F182" s="195">
        <v>8.1</v>
      </c>
      <c r="G182" s="80"/>
      <c r="H182" s="136">
        <f>Tableau3384[[#This Row],[Montant
CHF]]+Tableau3384[[#This Row],[Abzug/Spesen
CHF]]</f>
        <v>103</v>
      </c>
      <c r="I182" s="39"/>
      <c r="J182" s="40"/>
      <c r="K182" s="189"/>
      <c r="L182" s="298"/>
      <c r="M182" s="81"/>
      <c r="N182" s="21">
        <v>45394</v>
      </c>
      <c r="O182" s="282" t="str">
        <f>IF(Tableau3384[[#This Row],[Date du paiement]]&gt;0,"",Tableau3384[[#This Row],[Montant
CHF]])</f>
        <v/>
      </c>
      <c r="P182" s="276" t="str">
        <f>IF(Tableau3384[[#This Row],[Date du paiement]]="",$B$4-Tableau3384[[#This Row],[Écheance]],"")</f>
        <v/>
      </c>
      <c r="Q182" s="168" t="str">
        <f>IF(Tableau3384[[#This Row],[Date du paiement]]="",IF(Tableau3384[[#This Row],[jours jusqu''à l''écheance]]&gt;0,Tableau3384[[#This Row],[Montant
CHF]],""),"")</f>
        <v/>
      </c>
      <c r="R182" s="298" t="str">
        <f>IF(Tableau3384[[#This Row],[Date du paiement]]="",IF(Tableau3384[[#This Row],[jours jusqu''à l''écheance]]-($B$4-$B$11-1)&gt;0,Tableau3384[[#This Row],[Montant
CHF]],""),"")</f>
        <v/>
      </c>
      <c r="S182" s="142"/>
      <c r="T182" s="95" t="str">
        <f>IF(Tableau3384[[#This Row],[Paiements prevus]]="oui",Tableau3384[[#This Row],[Montant prevu à payer CH]],"")</f>
        <v/>
      </c>
      <c r="U182" s="129"/>
      <c r="V182" s="73"/>
      <c r="W182" s="68"/>
      <c r="X182" s="23">
        <v>45398</v>
      </c>
      <c r="Y182" s="7" t="s">
        <v>58</v>
      </c>
      <c r="Z182" s="120" t="str">
        <f>IF(Tableau3384[[#This Row],[Méthode du paiement]]="Mastercard","OUI","")</f>
        <v/>
      </c>
      <c r="AA182" s="6" t="s">
        <v>43</v>
      </c>
      <c r="AB182" s="6" t="s">
        <v>302</v>
      </c>
      <c r="AC182" s="5"/>
      <c r="AD182" s="5"/>
      <c r="AE182" s="5"/>
      <c r="AF182" s="5"/>
      <c r="AG182" s="5"/>
      <c r="AH182" s="5"/>
      <c r="AI182" s="5"/>
    </row>
    <row r="183" spans="1:35" hidden="1" x14ac:dyDescent="0.25">
      <c r="A183" s="9" t="s">
        <v>471</v>
      </c>
      <c r="B183" s="21">
        <v>45365</v>
      </c>
      <c r="C183" s="21">
        <v>45366</v>
      </c>
      <c r="D183" s="22" t="s">
        <v>35</v>
      </c>
      <c r="E183" s="11">
        <v>4247.6499999999996</v>
      </c>
      <c r="F183" s="88">
        <v>0</v>
      </c>
      <c r="G183" s="80"/>
      <c r="H183" s="136">
        <f>Tableau3384[[#This Row],[Montant
CHF]]+Tableau3384[[#This Row],[Abzug/Spesen
CHF]]</f>
        <v>4247.6499999999996</v>
      </c>
      <c r="I183" s="39"/>
      <c r="J183" s="40"/>
      <c r="K183" s="189"/>
      <c r="L183" s="298"/>
      <c r="M183" s="194" t="s">
        <v>1255</v>
      </c>
      <c r="N183" s="21">
        <v>45393</v>
      </c>
      <c r="O183" s="282" t="str">
        <f>IF(Tableau3384[[#This Row],[Date du paiement]]&gt;0,"",Tableau3384[[#This Row],[Montant
CHF]])</f>
        <v/>
      </c>
      <c r="P183" s="276" t="str">
        <f>IF(Tableau3384[[#This Row],[Date du paiement]]="",$B$4-Tableau3384[[#This Row],[Écheance]],"")</f>
        <v/>
      </c>
      <c r="Q183" s="168" t="str">
        <f>IF(Tableau3384[[#This Row],[Date du paiement]]="",IF(Tableau3384[[#This Row],[jours jusqu''à l''écheance]]&gt;0,Tableau3384[[#This Row],[Montant
CHF]],""),"")</f>
        <v/>
      </c>
      <c r="R183" s="298" t="str">
        <f>IF(Tableau3384[[#This Row],[Date du paiement]]="",IF(Tableau3384[[#This Row],[jours jusqu''à l''écheance]]-($B$4-$B$11-1)&gt;0,Tableau3384[[#This Row],[Montant
CHF]],""),"")</f>
        <v/>
      </c>
      <c r="S183" s="142"/>
      <c r="T183" s="95" t="str">
        <f>IF(Tableau3384[[#This Row],[Paiements prevus]]="oui",Tableau3384[[#This Row],[Montant prevu à payer CH]],"")</f>
        <v/>
      </c>
      <c r="U183" s="129"/>
      <c r="V183" s="73"/>
      <c r="W183" s="68"/>
      <c r="X183" s="23">
        <v>45398</v>
      </c>
      <c r="Y183" s="7" t="s">
        <v>58</v>
      </c>
      <c r="Z183" s="120" t="str">
        <f>IF(Tableau3384[[#This Row],[Méthode du paiement]]="Mastercard","OUI","")</f>
        <v/>
      </c>
      <c r="AA183" s="6" t="s">
        <v>4</v>
      </c>
      <c r="AB183" s="6" t="s">
        <v>274</v>
      </c>
      <c r="AC183" s="5"/>
      <c r="AD183" s="5"/>
      <c r="AE183" s="5"/>
      <c r="AF183" s="5"/>
      <c r="AG183" s="5"/>
      <c r="AH183" s="5"/>
      <c r="AI183" s="5"/>
    </row>
    <row r="184" spans="1:35" hidden="1" x14ac:dyDescent="0.25">
      <c r="A184" s="9" t="s">
        <v>268</v>
      </c>
      <c r="B184" s="21">
        <v>45366</v>
      </c>
      <c r="C184" s="21">
        <v>45366</v>
      </c>
      <c r="D184" s="22" t="s">
        <v>25</v>
      </c>
      <c r="E184" s="11">
        <v>40</v>
      </c>
      <c r="F184" s="88">
        <v>0</v>
      </c>
      <c r="G184" s="80"/>
      <c r="H184" s="136">
        <f>Tableau3384[[#This Row],[Montant
CHF]]+Tableau3384[[#This Row],[Abzug/Spesen
CHF]]</f>
        <v>40</v>
      </c>
      <c r="I184" s="39"/>
      <c r="J184" s="40"/>
      <c r="K184" s="189"/>
      <c r="L184" s="298"/>
      <c r="M184" s="81"/>
      <c r="N184" s="21">
        <v>45387</v>
      </c>
      <c r="O184" s="282" t="str">
        <f>IF(Tableau3384[[#This Row],[Date du paiement]]&gt;0,"",Tableau3384[[#This Row],[Montant
CHF]])</f>
        <v/>
      </c>
      <c r="P184" s="276" t="str">
        <f>IF(Tableau3384[[#This Row],[Date du paiement]]="",$B$4-Tableau3384[[#This Row],[Écheance]],"")</f>
        <v/>
      </c>
      <c r="Q184" s="168" t="str">
        <f>IF(Tableau3384[[#This Row],[Date du paiement]]="",IF(Tableau3384[[#This Row],[jours jusqu''à l''écheance]]&gt;0,Tableau3384[[#This Row],[Montant
CHF]],""),"")</f>
        <v/>
      </c>
      <c r="R184" s="298" t="str">
        <f>IF(Tableau3384[[#This Row],[Date du paiement]]="",IF(Tableau3384[[#This Row],[jours jusqu''à l''écheance]]-($B$4-$B$11-1)&gt;0,Tableau3384[[#This Row],[Montant
CHF]],""),"")</f>
        <v/>
      </c>
      <c r="S184" s="142"/>
      <c r="T184" s="95" t="str">
        <f>IF(Tableau3384[[#This Row],[Paiements prevus]]="oui",Tableau3384[[#This Row],[Montant prevu à payer CH]],"")</f>
        <v/>
      </c>
      <c r="U184" s="129"/>
      <c r="V184" s="73"/>
      <c r="W184" s="68"/>
      <c r="X184" s="23">
        <v>45398</v>
      </c>
      <c r="Y184" s="7" t="s">
        <v>58</v>
      </c>
      <c r="Z184" s="120" t="str">
        <f>IF(Tableau3384[[#This Row],[Méthode du paiement]]="Mastercard","OUI","")</f>
        <v/>
      </c>
      <c r="AA184" s="6" t="s">
        <v>26</v>
      </c>
      <c r="AB184" s="6" t="s">
        <v>270</v>
      </c>
      <c r="AC184" s="5"/>
      <c r="AD184" s="5"/>
      <c r="AE184" s="5"/>
      <c r="AF184" s="5"/>
      <c r="AG184" s="5"/>
      <c r="AH184" s="5"/>
      <c r="AI184" s="5"/>
    </row>
    <row r="185" spans="1:35" hidden="1" x14ac:dyDescent="0.25">
      <c r="A185" s="9" t="s">
        <v>269</v>
      </c>
      <c r="B185" s="21">
        <v>45366</v>
      </c>
      <c r="C185" s="21">
        <v>45366</v>
      </c>
      <c r="D185" s="22" t="s">
        <v>25</v>
      </c>
      <c r="E185" s="11">
        <v>40</v>
      </c>
      <c r="F185" s="88">
        <v>0</v>
      </c>
      <c r="G185" s="80"/>
      <c r="H185" s="136">
        <f>Tableau3384[[#This Row],[Montant
CHF]]+Tableau3384[[#This Row],[Abzug/Spesen
CHF]]</f>
        <v>40</v>
      </c>
      <c r="I185" s="39"/>
      <c r="J185" s="40"/>
      <c r="K185" s="189"/>
      <c r="L185" s="298"/>
      <c r="M185" s="81"/>
      <c r="N185" s="21">
        <v>45387</v>
      </c>
      <c r="O185" s="282" t="str">
        <f>IF(Tableau3384[[#This Row],[Date du paiement]]&gt;0,"",Tableau3384[[#This Row],[Montant
CHF]])</f>
        <v/>
      </c>
      <c r="P185" s="276" t="str">
        <f>IF(Tableau3384[[#This Row],[Date du paiement]]="",$B$4-Tableau3384[[#This Row],[Écheance]],"")</f>
        <v/>
      </c>
      <c r="Q185" s="168" t="str">
        <f>IF(Tableau3384[[#This Row],[Date du paiement]]="",IF(Tableau3384[[#This Row],[jours jusqu''à l''écheance]]&gt;0,Tableau3384[[#This Row],[Montant
CHF]],""),"")</f>
        <v/>
      </c>
      <c r="R185" s="298" t="str">
        <f>IF(Tableau3384[[#This Row],[Date du paiement]]="",IF(Tableau3384[[#This Row],[jours jusqu''à l''écheance]]-($B$4-$B$11-1)&gt;0,Tableau3384[[#This Row],[Montant
CHF]],""),"")</f>
        <v/>
      </c>
      <c r="S185" s="142"/>
      <c r="T185" s="95" t="str">
        <f>IF(Tableau3384[[#This Row],[Paiements prevus]]="oui",Tableau3384[[#This Row],[Montant prevu à payer CH]],"")</f>
        <v/>
      </c>
      <c r="U185" s="129"/>
      <c r="V185" s="73"/>
      <c r="W185" s="68"/>
      <c r="X185" s="23">
        <v>45398</v>
      </c>
      <c r="Y185" s="7" t="s">
        <v>58</v>
      </c>
      <c r="Z185" s="120" t="str">
        <f>IF(Tableau3384[[#This Row],[Méthode du paiement]]="Mastercard","OUI","")</f>
        <v/>
      </c>
      <c r="AA185" s="6" t="s">
        <v>26</v>
      </c>
      <c r="AB185" s="6" t="s">
        <v>271</v>
      </c>
    </row>
    <row r="186" spans="1:35" hidden="1" x14ac:dyDescent="0.25">
      <c r="A186" s="9" t="s">
        <v>503</v>
      </c>
      <c r="B186" s="21">
        <v>45366</v>
      </c>
      <c r="C186" s="21">
        <v>45366</v>
      </c>
      <c r="D186" s="22" t="s">
        <v>29</v>
      </c>
      <c r="E186" s="11">
        <v>188.1</v>
      </c>
      <c r="F186" s="88">
        <v>8.1</v>
      </c>
      <c r="G186" s="80"/>
      <c r="H186" s="136">
        <f>Tableau3384[[#This Row],[Montant
CHF]]+Tableau3384[[#This Row],[Abzug/Spesen
CHF]]</f>
        <v>188.1</v>
      </c>
      <c r="I186" s="39"/>
      <c r="J186" s="40"/>
      <c r="K186" s="189"/>
      <c r="L186" s="298"/>
      <c r="M186" s="81"/>
      <c r="N186" s="21">
        <v>45408</v>
      </c>
      <c r="O186" s="282" t="str">
        <f>IF(Tableau3384[[#This Row],[Date du paiement]]&gt;0,"",Tableau3384[[#This Row],[Montant
CHF]])</f>
        <v/>
      </c>
      <c r="P186" s="276" t="str">
        <f>IF(Tableau3384[[#This Row],[Date du paiement]]="",$B$4-Tableau3384[[#This Row],[Écheance]],"")</f>
        <v/>
      </c>
      <c r="Q186" s="168" t="str">
        <f>IF(Tableau3384[[#This Row],[Date du paiement]]="",IF(Tableau3384[[#This Row],[jours jusqu''à l''écheance]]&gt;0,Tableau3384[[#This Row],[Montant
CHF]],""),"")</f>
        <v/>
      </c>
      <c r="R186" s="298" t="str">
        <f>IF(Tableau3384[[#This Row],[Date du paiement]]="",IF(Tableau3384[[#This Row],[jours jusqu''à l''écheance]]-($B$4-$B$11-1)&gt;0,Tableau3384[[#This Row],[Montant
CHF]],""),"")</f>
        <v/>
      </c>
      <c r="S186" s="142"/>
      <c r="T186" s="95" t="str">
        <f>IF(Tableau3384[[#This Row],[Paiements prevus]]="oui",Tableau3384[[#This Row],[Montant prevu à payer CH]],"")</f>
        <v/>
      </c>
      <c r="U186" s="129"/>
      <c r="V186" s="73"/>
      <c r="W186" s="68"/>
      <c r="X186" s="23">
        <v>45408</v>
      </c>
      <c r="Y186" s="7" t="s">
        <v>58</v>
      </c>
      <c r="Z186" s="120" t="str">
        <f>IF(Tableau3384[[#This Row],[Méthode du paiement]]="Mastercard","OUI","")</f>
        <v/>
      </c>
      <c r="AA186" s="6" t="s">
        <v>30</v>
      </c>
      <c r="AB186" s="6" t="s">
        <v>504</v>
      </c>
    </row>
    <row r="187" spans="1:35" hidden="1" x14ac:dyDescent="0.25">
      <c r="A187" s="9" t="s">
        <v>315</v>
      </c>
      <c r="B187" s="21">
        <v>45369</v>
      </c>
      <c r="C187" s="21">
        <v>45369</v>
      </c>
      <c r="D187" s="22" t="s">
        <v>216</v>
      </c>
      <c r="E187" s="11">
        <v>655.8</v>
      </c>
      <c r="F187" s="88">
        <v>100</v>
      </c>
      <c r="G187" s="80"/>
      <c r="H187" s="136">
        <f>Tableau3384[[#This Row],[Montant
CHF]]+Tableau3384[[#This Row],[Abzug/Spesen
CHF]]</f>
        <v>655.8</v>
      </c>
      <c r="I187" s="39"/>
      <c r="J187" s="40"/>
      <c r="K187" s="189"/>
      <c r="L187" s="298"/>
      <c r="M187" s="81"/>
      <c r="N187" s="21">
        <f>Tableau3384[[#This Row],[Date de 
la facture]]+60</f>
        <v>45429</v>
      </c>
      <c r="O187" s="282" t="str">
        <f>IF(Tableau3384[[#This Row],[Date du paiement]]&gt;0,"",Tableau3384[[#This Row],[Montant
CHF]])</f>
        <v/>
      </c>
      <c r="P187" s="276" t="str">
        <f>IF(Tableau3384[[#This Row],[Date du paiement]]="",$B$4-Tableau3384[[#This Row],[Écheance]],"")</f>
        <v/>
      </c>
      <c r="Q187" s="168" t="str">
        <f>IF(Tableau3384[[#This Row],[Date du paiement]]="",IF(Tableau3384[[#This Row],[jours jusqu''à l''écheance]]&gt;0,Tableau3384[[#This Row],[Montant
CHF]],""),"")</f>
        <v/>
      </c>
      <c r="R187" s="298" t="str">
        <f>IF(Tableau3384[[#This Row],[Date du paiement]]="",IF(Tableau3384[[#This Row],[jours jusqu''à l''écheance]]-($B$4-$B$11-1)&gt;0,Tableau3384[[#This Row],[Montant
CHF]],""),"")</f>
        <v/>
      </c>
      <c r="S187" s="142"/>
      <c r="T187" s="95" t="str">
        <f>IF(Tableau3384[[#This Row],[Paiements prevus]]="oui",Tableau3384[[#This Row],[Montant prevu à payer CH]],"")</f>
        <v/>
      </c>
      <c r="U187" s="129"/>
      <c r="V187" s="73"/>
      <c r="W187" s="68"/>
      <c r="X187" s="23">
        <v>45429</v>
      </c>
      <c r="Y187" s="7" t="s">
        <v>58</v>
      </c>
      <c r="Z187" s="120" t="str">
        <f>IF(Tableau3384[[#This Row],[Méthode du paiement]]="Mastercard","OUI","")</f>
        <v/>
      </c>
      <c r="AA187" s="6" t="s">
        <v>604</v>
      </c>
      <c r="AB187" s="6" t="s">
        <v>273</v>
      </c>
    </row>
    <row r="188" spans="1:35" hidden="1" x14ac:dyDescent="0.25">
      <c r="A188" s="9" t="s">
        <v>276</v>
      </c>
      <c r="B188" s="21">
        <v>45369</v>
      </c>
      <c r="C188" s="21">
        <v>45370</v>
      </c>
      <c r="D188" s="22" t="s">
        <v>92</v>
      </c>
      <c r="E188" s="11">
        <v>782.9</v>
      </c>
      <c r="F188" s="88">
        <v>8.1</v>
      </c>
      <c r="G188" s="80"/>
      <c r="H188" s="136">
        <f>Tableau3384[[#This Row],[Montant
CHF]]+Tableau3384[[#This Row],[Abzug/Spesen
CHF]]</f>
        <v>782.9</v>
      </c>
      <c r="I188" s="39"/>
      <c r="J188" s="40"/>
      <c r="K188" s="189"/>
      <c r="L188" s="298"/>
      <c r="M188" s="81"/>
      <c r="N188" s="21">
        <v>45379</v>
      </c>
      <c r="O188" s="282" t="str">
        <f>IF(Tableau3384[[#This Row],[Date du paiement]]&gt;0,"",Tableau3384[[#This Row],[Montant
CHF]])</f>
        <v/>
      </c>
      <c r="P188" s="276" t="str">
        <f>IF(Tableau3384[[#This Row],[Date du paiement]]="",$B$4-Tableau3384[[#This Row],[Écheance]],"")</f>
        <v/>
      </c>
      <c r="Q188" s="168" t="str">
        <f>IF(Tableau3384[[#This Row],[Date du paiement]]="",IF(Tableau3384[[#This Row],[jours jusqu''à l''écheance]]&gt;0,Tableau3384[[#This Row],[Montant
CHF]],""),"")</f>
        <v/>
      </c>
      <c r="R188" s="298" t="str">
        <f>IF(Tableau3384[[#This Row],[Date du paiement]]="",IF(Tableau3384[[#This Row],[jours jusqu''à l''écheance]]-($B$4-$B$11-1)&gt;0,Tableau3384[[#This Row],[Montant
CHF]],""),"")</f>
        <v/>
      </c>
      <c r="S188" s="142"/>
      <c r="T188" s="95" t="str">
        <f>IF(Tableau3384[[#This Row],[Paiements prevus]]="oui",Tableau3384[[#This Row],[Montant prevu à payer CH]],"")</f>
        <v/>
      </c>
      <c r="U188" s="129"/>
      <c r="V188" s="73"/>
      <c r="W188" s="68"/>
      <c r="X188" s="23">
        <v>45404</v>
      </c>
      <c r="Y188" s="7" t="s">
        <v>58</v>
      </c>
      <c r="Z188" s="120" t="str">
        <f>IF(Tableau3384[[#This Row],[Méthode du paiement]]="Mastercard","OUI","")</f>
        <v/>
      </c>
      <c r="AA188" s="6" t="s">
        <v>14</v>
      </c>
      <c r="AB188" s="6" t="s">
        <v>277</v>
      </c>
    </row>
    <row r="189" spans="1:35" hidden="1" x14ac:dyDescent="0.25">
      <c r="A189" s="9" t="s">
        <v>286</v>
      </c>
      <c r="B189" s="21">
        <v>45369</v>
      </c>
      <c r="C189" s="21">
        <v>45370</v>
      </c>
      <c r="D189" s="22" t="s">
        <v>13</v>
      </c>
      <c r="E189" s="11">
        <f>Tableau3384[[#This Row],[Montant
EUR]]*Tableau3384[[#This Row],[Taux 
de change]]</f>
        <v>17649.219650347997</v>
      </c>
      <c r="F189" s="88">
        <v>0</v>
      </c>
      <c r="G189" s="80"/>
      <c r="H189" s="136">
        <f>Tableau3384[[#This Row],[Montant
CHF]]+Tableau3384[[#This Row],[Abzug/Spesen
CHF]]</f>
        <v>17649.219650347997</v>
      </c>
      <c r="I189" s="39">
        <v>0.98401419999999995</v>
      </c>
      <c r="J189" s="40">
        <v>17935.939999999999</v>
      </c>
      <c r="K189" s="189"/>
      <c r="L189" s="298">
        <v>29046.85</v>
      </c>
      <c r="M189" s="81"/>
      <c r="N189" s="21">
        <v>45430</v>
      </c>
      <c r="O189" s="282" t="str">
        <f>IF(Tableau3384[[#This Row],[Date du paiement]]&gt;0,"",Tableau3384[[#This Row],[Montant
CHF]])</f>
        <v/>
      </c>
      <c r="P189" s="276" t="str">
        <f>IF(Tableau3384[[#This Row],[Date du paiement]]="",$B$4-Tableau3384[[#This Row],[Écheance]],"")</f>
        <v/>
      </c>
      <c r="Q189" s="168" t="str">
        <f>IF(Tableau3384[[#This Row],[Date du paiement]]="",IF(Tableau3384[[#This Row],[jours jusqu''à l''écheance]]&gt;0,Tableau3384[[#This Row],[Montant
CHF]],""),"")</f>
        <v/>
      </c>
      <c r="R189" s="298" t="str">
        <f>IF(Tableau3384[[#This Row],[Date du paiement]]="",IF(Tableau3384[[#This Row],[jours jusqu''à l''écheance]]-($B$4-$B$11-1)&gt;0,Tableau3384[[#This Row],[Montant
CHF]],""),"")</f>
        <v/>
      </c>
      <c r="S189" s="142"/>
      <c r="T189" s="95" t="str">
        <f>IF(Tableau3384[[#This Row],[Paiements prevus]]="oui",Tableau3384[[#This Row],[Montant prevu à payer CH]],"")</f>
        <v/>
      </c>
      <c r="U189" s="129"/>
      <c r="V189" s="73"/>
      <c r="W189" s="68"/>
      <c r="X189" s="23">
        <v>45428</v>
      </c>
      <c r="Y189" s="7" t="s">
        <v>58</v>
      </c>
      <c r="Z189" s="120" t="str">
        <f>IF(Tableau3384[[#This Row],[Méthode du paiement]]="Mastercard","OUI","")</f>
        <v/>
      </c>
      <c r="AA189" s="6" t="s">
        <v>14</v>
      </c>
      <c r="AB189" s="6" t="s">
        <v>285</v>
      </c>
    </row>
    <row r="190" spans="1:35" hidden="1" x14ac:dyDescent="0.25">
      <c r="A190" s="9" t="s">
        <v>287</v>
      </c>
      <c r="B190" s="21">
        <v>45369</v>
      </c>
      <c r="C190" s="21">
        <v>45370</v>
      </c>
      <c r="D190" s="22" t="s">
        <v>360</v>
      </c>
      <c r="E190" s="11">
        <f>Tableau3384[[#This Row],[Montant
EUR]]*Tableau3384[[#This Row],[Taux 
de change]]</f>
        <v>11046.959990849449</v>
      </c>
      <c r="F190" s="88">
        <v>0</v>
      </c>
      <c r="G190" s="80"/>
      <c r="H190" s="136">
        <f>Tableau3384[[#This Row],[Montant
CHF]]+Tableau3384[[#This Row],[Abzug/Spesen
CHF]]</f>
        <v>11046.959990849449</v>
      </c>
      <c r="I190" s="39">
        <v>0.99424439499999995</v>
      </c>
      <c r="J190" s="40">
        <v>11110.91</v>
      </c>
      <c r="K190" s="189"/>
      <c r="L190" s="298">
        <v>29046.85</v>
      </c>
      <c r="M190" s="81"/>
      <c r="N190" s="21">
        <v>45430</v>
      </c>
      <c r="O190" s="282" t="str">
        <f>IF(Tableau3384[[#This Row],[Date du paiement]]&gt;0,"",Tableau3384[[#This Row],[Montant
CHF]])</f>
        <v/>
      </c>
      <c r="P190" s="276" t="str">
        <f>IF(Tableau3384[[#This Row],[Date du paiement]]="",$B$4-Tableau3384[[#This Row],[Écheance]],"")</f>
        <v/>
      </c>
      <c r="Q190" s="168" t="str">
        <f>IF(Tableau3384[[#This Row],[Date du paiement]]="",IF(Tableau3384[[#This Row],[jours jusqu''à l''écheance]]&gt;0,Tableau3384[[#This Row],[Montant
CHF]],""),"")</f>
        <v/>
      </c>
      <c r="R190" s="298" t="str">
        <f>IF(Tableau3384[[#This Row],[Date du paiement]]="",IF(Tableau3384[[#This Row],[jours jusqu''à l''écheance]]-($B$4-$B$11-1)&gt;0,Tableau3384[[#This Row],[Montant
CHF]],""),"")</f>
        <v/>
      </c>
      <c r="S190" s="142"/>
      <c r="T190" s="95" t="str">
        <f>IF(Tableau3384[[#This Row],[Paiements prevus]]="oui",Tableau3384[[#This Row],[Montant prevu à payer CH]],"")</f>
        <v/>
      </c>
      <c r="U190" s="129"/>
      <c r="V190" s="73"/>
      <c r="W190" s="68"/>
      <c r="X190" s="23">
        <v>45434</v>
      </c>
      <c r="Y190" s="7" t="s">
        <v>58</v>
      </c>
      <c r="Z190" s="120" t="str">
        <f>IF(Tableau3384[[#This Row],[Méthode du paiement]]="Mastercard","OUI","")</f>
        <v/>
      </c>
      <c r="AA190" s="6" t="s">
        <v>14</v>
      </c>
      <c r="AB190" s="6" t="s">
        <v>285</v>
      </c>
    </row>
    <row r="191" spans="1:35" hidden="1" x14ac:dyDescent="0.25">
      <c r="A191" s="9" t="s">
        <v>505</v>
      </c>
      <c r="B191" s="21">
        <v>45370</v>
      </c>
      <c r="C191" s="21">
        <v>45370</v>
      </c>
      <c r="D191" s="22" t="s">
        <v>1284</v>
      </c>
      <c r="E191" s="11">
        <f>Tableau3384[[#This Row],[Montant
EUR]]*Tableau3384[[#This Row],[Taux 
de change]]</f>
        <v>14409.959958920001</v>
      </c>
      <c r="F191" s="88">
        <v>0</v>
      </c>
      <c r="G191" s="80"/>
      <c r="H191" s="136">
        <f>Tableau3384[[#This Row],[Montant
CHF]]+Tableau3384[[#This Row],[Abzug/Spesen
CHF]]</f>
        <v>14409.959958920001</v>
      </c>
      <c r="I191" s="39">
        <v>0.95582117</v>
      </c>
      <c r="J191" s="40">
        <v>15076</v>
      </c>
      <c r="K191" s="189"/>
      <c r="L191" s="298"/>
      <c r="M191" s="81"/>
      <c r="N191" s="21">
        <v>45351</v>
      </c>
      <c r="O191" s="282" t="str">
        <f>IF(Tableau3384[[#This Row],[Date du paiement]]&gt;0,"",Tableau3384[[#This Row],[Montant
CHF]])</f>
        <v/>
      </c>
      <c r="P191" s="276" t="str">
        <f>IF(Tableau3384[[#This Row],[Date du paiement]]="",$B$4-Tableau3384[[#This Row],[Écheance]],"")</f>
        <v/>
      </c>
      <c r="Q191" s="168" t="str">
        <f>IF(Tableau3384[[#This Row],[Date du paiement]]="",IF(Tableau3384[[#This Row],[jours jusqu''à l''écheance]]&gt;0,Tableau3384[[#This Row],[Montant
CHF]],""),"")</f>
        <v/>
      </c>
      <c r="R191" s="298" t="str">
        <f>IF(Tableau3384[[#This Row],[Date du paiement]]="",IF(Tableau3384[[#This Row],[jours jusqu''à l''écheance]]-($B$4-$B$11-1)&gt;0,Tableau3384[[#This Row],[Montant
CHF]],""),"")</f>
        <v/>
      </c>
      <c r="S191" s="142"/>
      <c r="T191" s="95" t="str">
        <f>IF(Tableau3384[[#This Row],[Paiements prevus]]="oui",Tableau3384[[#This Row],[Montant prevu à payer CH]],"")</f>
        <v/>
      </c>
      <c r="U191" s="129"/>
      <c r="V191" s="73"/>
      <c r="W191" s="68"/>
      <c r="X191" s="23">
        <v>45351</v>
      </c>
      <c r="Y191" s="7" t="s">
        <v>58</v>
      </c>
      <c r="Z191" s="120" t="str">
        <f>IF(Tableau3384[[#This Row],[Méthode du paiement]]="Mastercard","OUI","")</f>
        <v/>
      </c>
      <c r="AA191" s="6" t="s">
        <v>14</v>
      </c>
      <c r="AB191" s="6" t="s">
        <v>1137</v>
      </c>
    </row>
    <row r="192" spans="1:35" hidden="1" x14ac:dyDescent="0.25">
      <c r="A192" s="9" t="s">
        <v>506</v>
      </c>
      <c r="B192" s="21">
        <v>45370</v>
      </c>
      <c r="C192" s="21">
        <v>45370</v>
      </c>
      <c r="D192" s="186" t="s">
        <v>1284</v>
      </c>
      <c r="E192" s="11">
        <f>Tableau3384[[#This Row],[Montant
EUR]]*Tableau3384[[#This Row],[Taux 
de change]]</f>
        <v>14472.96</v>
      </c>
      <c r="F192" s="88">
        <v>0</v>
      </c>
      <c r="G192" s="80"/>
      <c r="H192" s="136">
        <f>Tableau3384[[#This Row],[Montant
CHF]]+Tableau3384[[#This Row],[Abzug/Spesen
CHF]]</f>
        <v>14472.96</v>
      </c>
      <c r="I192" s="39">
        <v>0.96</v>
      </c>
      <c r="J192" s="40">
        <v>15076</v>
      </c>
      <c r="K192" s="189"/>
      <c r="L192" s="298"/>
      <c r="M192" s="81"/>
      <c r="N192" s="21">
        <v>45366</v>
      </c>
      <c r="O192" s="282" t="str">
        <f>IF(Tableau3384[[#This Row],[Date du paiement]]&gt;0,"",Tableau3384[[#This Row],[Montant
CHF]])</f>
        <v/>
      </c>
      <c r="P192" s="276" t="str">
        <f>IF(Tableau3384[[#This Row],[Date du paiement]]="",$B$4-Tableau3384[[#This Row],[Écheance]],"")</f>
        <v/>
      </c>
      <c r="Q192" s="168" t="str">
        <f>IF(Tableau3384[[#This Row],[Date du paiement]]="",IF(Tableau3384[[#This Row],[jours jusqu''à l''écheance]]&gt;0,Tableau3384[[#This Row],[Montant
CHF]],""),"")</f>
        <v/>
      </c>
      <c r="R192" s="298" t="str">
        <f>IF(Tableau3384[[#This Row],[Date du paiement]]="",IF(Tableau3384[[#This Row],[jours jusqu''à l''écheance]]-($B$4-$B$11-1)&gt;0,Tableau3384[[#This Row],[Montant
CHF]],""),"")</f>
        <v/>
      </c>
      <c r="S192" s="142"/>
      <c r="T192" s="95" t="str">
        <f>IF(Tableau3384[[#This Row],[Paiements prevus]]="oui",Tableau3384[[#This Row],[Montant prevu à payer CH]],"")</f>
        <v/>
      </c>
      <c r="U192" s="129"/>
      <c r="V192" s="73"/>
      <c r="W192" s="68"/>
      <c r="X192" s="23">
        <v>45366</v>
      </c>
      <c r="Y192" s="7" t="s">
        <v>58</v>
      </c>
      <c r="Z192" s="120" t="str">
        <f>IF(Tableau3384[[#This Row],[Méthode du paiement]]="Mastercard","OUI","")</f>
        <v/>
      </c>
      <c r="AA192" s="6" t="s">
        <v>14</v>
      </c>
      <c r="AB192" s="180" t="s">
        <v>1137</v>
      </c>
    </row>
    <row r="193" spans="1:28" hidden="1" x14ac:dyDescent="0.25">
      <c r="A193" s="9" t="s">
        <v>322</v>
      </c>
      <c r="B193" s="21">
        <v>45371</v>
      </c>
      <c r="C193" s="21">
        <v>45371</v>
      </c>
      <c r="D193" s="22" t="s">
        <v>216</v>
      </c>
      <c r="E193" s="11">
        <v>2814.65</v>
      </c>
      <c r="F193" s="88">
        <v>100</v>
      </c>
      <c r="G193" s="80"/>
      <c r="H193" s="136">
        <f>Tableau3384[[#This Row],[Montant
CHF]]+Tableau3384[[#This Row],[Abzug/Spesen
CHF]]</f>
        <v>2814.65</v>
      </c>
      <c r="I193" s="39"/>
      <c r="J193" s="40"/>
      <c r="K193" s="189"/>
      <c r="L193" s="298"/>
      <c r="M193" s="81"/>
      <c r="N193" s="21">
        <v>45433</v>
      </c>
      <c r="O193" s="282" t="str">
        <f>IF(Tableau3384[[#This Row],[Date du paiement]]&gt;0,"",Tableau3384[[#This Row],[Montant
CHF]])</f>
        <v/>
      </c>
      <c r="P193" s="276" t="str">
        <f>IF(Tableau3384[[#This Row],[Date du paiement]]="",$B$4-Tableau3384[[#This Row],[Écheance]],"")</f>
        <v/>
      </c>
      <c r="Q193" s="168" t="str">
        <f>IF(Tableau3384[[#This Row],[Date du paiement]]="",IF(Tableau3384[[#This Row],[jours jusqu''à l''écheance]]&gt;0,Tableau3384[[#This Row],[Montant
CHF]],""),"")</f>
        <v/>
      </c>
      <c r="R193" s="298" t="str">
        <f>IF(Tableau3384[[#This Row],[Date du paiement]]="",IF(Tableau3384[[#This Row],[jours jusqu''à l''écheance]]-($B$4-$B$11-1)&gt;0,Tableau3384[[#This Row],[Montant
CHF]],""),"")</f>
        <v/>
      </c>
      <c r="S193" s="142"/>
      <c r="T193" s="95" t="str">
        <f>IF(Tableau3384[[#This Row],[Paiements prevus]]="oui",Tableau3384[[#This Row],[Montant prevu à payer CH]],"")</f>
        <v/>
      </c>
      <c r="U193" s="129"/>
      <c r="V193" s="73"/>
      <c r="W193" s="68"/>
      <c r="X193" s="23">
        <v>45433</v>
      </c>
      <c r="Y193" s="7" t="s">
        <v>58</v>
      </c>
      <c r="Z193" s="120" t="str">
        <f>IF(Tableau3384[[#This Row],[Méthode du paiement]]="Mastercard","OUI","")</f>
        <v/>
      </c>
      <c r="AA193" s="6" t="s">
        <v>604</v>
      </c>
      <c r="AB193" s="6" t="s">
        <v>323</v>
      </c>
    </row>
    <row r="194" spans="1:28" hidden="1" x14ac:dyDescent="0.25">
      <c r="A194" s="9" t="s">
        <v>324</v>
      </c>
      <c r="B194" s="21">
        <v>45371</v>
      </c>
      <c r="C194" s="21">
        <v>45372</v>
      </c>
      <c r="D194" s="22" t="s">
        <v>196</v>
      </c>
      <c r="E194" s="11">
        <v>1228.95</v>
      </c>
      <c r="F194" s="88">
        <v>8.1</v>
      </c>
      <c r="G194" s="80"/>
      <c r="H194" s="136">
        <f>Tableau3384[[#This Row],[Montant
CHF]]+Tableau3384[[#This Row],[Abzug/Spesen
CHF]]</f>
        <v>1228.95</v>
      </c>
      <c r="I194" s="39"/>
      <c r="J194" s="40"/>
      <c r="K194" s="189"/>
      <c r="L194" s="298"/>
      <c r="M194" s="81"/>
      <c r="N194" s="21">
        <v>45381</v>
      </c>
      <c r="O194" s="282" t="str">
        <f>IF(Tableau3384[[#This Row],[Date du paiement]]&gt;0,"",Tableau3384[[#This Row],[Montant
CHF]])</f>
        <v/>
      </c>
      <c r="P194" s="276" t="str">
        <f>IF(Tableau3384[[#This Row],[Date du paiement]]="",$B$4-Tableau3384[[#This Row],[Écheance]],"")</f>
        <v/>
      </c>
      <c r="Q194" s="168" t="str">
        <f>IF(Tableau3384[[#This Row],[Date du paiement]]="",IF(Tableau3384[[#This Row],[jours jusqu''à l''écheance]]&gt;0,Tableau3384[[#This Row],[Montant
CHF]],""),"")</f>
        <v/>
      </c>
      <c r="R194" s="298" t="str">
        <f>IF(Tableau3384[[#This Row],[Date du paiement]]="",IF(Tableau3384[[#This Row],[jours jusqu''à l''écheance]]-($B$4-$B$11-1)&gt;0,Tableau3384[[#This Row],[Montant
CHF]],""),"")</f>
        <v/>
      </c>
      <c r="S194" s="142"/>
      <c r="T194" s="95" t="str">
        <f>IF(Tableau3384[[#This Row],[Paiements prevus]]="oui",Tableau3384[[#This Row],[Montant prevu à payer CH]],"")</f>
        <v/>
      </c>
      <c r="U194" s="129"/>
      <c r="V194" s="73"/>
      <c r="W194" s="68"/>
      <c r="X194" s="23">
        <v>45404</v>
      </c>
      <c r="Y194" s="7" t="s">
        <v>58</v>
      </c>
      <c r="Z194" s="120" t="str">
        <f>IF(Tableau3384[[#This Row],[Méthode du paiement]]="Mastercard","OUI","")</f>
        <v/>
      </c>
      <c r="AA194" s="6" t="s">
        <v>4</v>
      </c>
      <c r="AB194" s="180" t="s">
        <v>325</v>
      </c>
    </row>
    <row r="195" spans="1:28" hidden="1" x14ac:dyDescent="0.25">
      <c r="A195" s="9" t="s">
        <v>454</v>
      </c>
      <c r="B195" s="21">
        <v>45371</v>
      </c>
      <c r="C195" s="21">
        <v>45393</v>
      </c>
      <c r="D195" s="22" t="s">
        <v>455</v>
      </c>
      <c r="E195" s="11">
        <f>Tableau3384[[#This Row],[Montant
EUR]]*Tableau3384[[#This Row],[Taux 
de change]]</f>
        <v>1094.9495704999999</v>
      </c>
      <c r="F195" s="88">
        <v>0</v>
      </c>
      <c r="G195" s="80"/>
      <c r="H195" s="136">
        <f>Tableau3384[[#This Row],[Montant
CHF]]+Tableau3384[[#This Row],[Abzug/Spesen
CHF]]</f>
        <v>1094.9495704999999</v>
      </c>
      <c r="I195" s="39">
        <v>0.98082999999999998</v>
      </c>
      <c r="J195" s="40">
        <v>1116.3499999999999</v>
      </c>
      <c r="K195" s="189"/>
      <c r="L195" s="298"/>
      <c r="M195" s="81"/>
      <c r="N195" s="21">
        <v>45401</v>
      </c>
      <c r="O195" s="282" t="str">
        <f>IF(Tableau3384[[#This Row],[Date du paiement]]&gt;0,"",Tableau3384[[#This Row],[Montant
CHF]])</f>
        <v/>
      </c>
      <c r="P195" s="276" t="str">
        <f>IF(Tableau3384[[#This Row],[Date du paiement]]="",$B$4-Tableau3384[[#This Row],[Écheance]],"")</f>
        <v/>
      </c>
      <c r="Q195" s="168" t="str">
        <f>IF(Tableau3384[[#This Row],[Date du paiement]]="",IF(Tableau3384[[#This Row],[jours jusqu''à l''écheance]]&gt;0,Tableau3384[[#This Row],[Montant
CHF]],""),"")</f>
        <v/>
      </c>
      <c r="R195" s="298" t="str">
        <f>IF(Tableau3384[[#This Row],[Date du paiement]]="",IF(Tableau3384[[#This Row],[jours jusqu''à l''écheance]]-($B$4-$B$11-1)&gt;0,Tableau3384[[#This Row],[Montant
CHF]],""),"")</f>
        <v/>
      </c>
      <c r="S195" s="142"/>
      <c r="T195" s="95" t="str">
        <f>IF(Tableau3384[[#This Row],[Paiements prevus]]="oui",Tableau3384[[#This Row],[Montant prevu à payer CH]],"")</f>
        <v/>
      </c>
      <c r="U195" s="129"/>
      <c r="V195" s="73"/>
      <c r="W195" s="68"/>
      <c r="X195" s="23">
        <v>45407</v>
      </c>
      <c r="Y195" s="7" t="s">
        <v>58</v>
      </c>
      <c r="Z195" s="120" t="str">
        <f>IF(Tableau3384[[#This Row],[Méthode du paiement]]="Mastercard","OUI","")</f>
        <v/>
      </c>
      <c r="AA195" s="6" t="s">
        <v>14</v>
      </c>
      <c r="AB195" s="25" t="s">
        <v>466</v>
      </c>
    </row>
    <row r="196" spans="1:28" hidden="1" x14ac:dyDescent="0.25">
      <c r="A196" s="9" t="s">
        <v>415</v>
      </c>
      <c r="B196" s="21">
        <v>45372</v>
      </c>
      <c r="C196" s="21">
        <v>45372</v>
      </c>
      <c r="D196" s="22" t="s">
        <v>416</v>
      </c>
      <c r="E196" s="11">
        <v>113</v>
      </c>
      <c r="F196" s="88">
        <v>8.1</v>
      </c>
      <c r="G196" s="80"/>
      <c r="H196" s="136">
        <f>Tableau3384[[#This Row],[Montant
CHF]]+Tableau3384[[#This Row],[Abzug/Spesen
CHF]]</f>
        <v>113</v>
      </c>
      <c r="I196" s="39"/>
      <c r="J196" s="40"/>
      <c r="K196" s="189"/>
      <c r="L196" s="298"/>
      <c r="M196" s="81"/>
      <c r="N196" s="21">
        <v>45372</v>
      </c>
      <c r="O196" s="282" t="str">
        <f>IF(Tableau3384[[#This Row],[Date du paiement]]&gt;0,"",Tableau3384[[#This Row],[Montant
CHF]])</f>
        <v/>
      </c>
      <c r="P196" s="276" t="str">
        <f>IF(Tableau3384[[#This Row],[Date du paiement]]="",$B$4-Tableau3384[[#This Row],[Écheance]],"")</f>
        <v/>
      </c>
      <c r="Q196" s="168" t="str">
        <f>IF(Tableau3384[[#This Row],[Date du paiement]]="",IF(Tableau3384[[#This Row],[jours jusqu''à l''écheance]]&gt;0,Tableau3384[[#This Row],[Montant
CHF]],""),"")</f>
        <v/>
      </c>
      <c r="R196" s="298" t="str">
        <f>IF(Tableau3384[[#This Row],[Date du paiement]]="",IF(Tableau3384[[#This Row],[jours jusqu''à l''écheance]]-($B$4-$B$11-1)&gt;0,Tableau3384[[#This Row],[Montant
CHF]],""),"")</f>
        <v/>
      </c>
      <c r="S196" s="142"/>
      <c r="T196" s="95" t="str">
        <f>IF(Tableau3384[[#This Row],[Paiements prevus]]="oui",Tableau3384[[#This Row],[Montant prevu à payer CH]],"")</f>
        <v/>
      </c>
      <c r="U196" s="176"/>
      <c r="V196" s="73"/>
      <c r="W196" s="68"/>
      <c r="X196" s="23">
        <v>45384</v>
      </c>
      <c r="Y196" s="7" t="s">
        <v>58</v>
      </c>
      <c r="Z196" s="120" t="str">
        <f>IF(Tableau3384[[#This Row],[Méthode du paiement]]="Mastercard","OUI","")</f>
        <v/>
      </c>
      <c r="AA196" s="18" t="s">
        <v>1431</v>
      </c>
      <c r="AB196" s="6" t="s">
        <v>417</v>
      </c>
    </row>
    <row r="197" spans="1:28" hidden="1" x14ac:dyDescent="0.25">
      <c r="A197" s="9" t="s">
        <v>389</v>
      </c>
      <c r="B197" s="21">
        <v>45372</v>
      </c>
      <c r="C197" s="21">
        <v>45384</v>
      </c>
      <c r="D197" s="22" t="s">
        <v>388</v>
      </c>
      <c r="E197" s="11">
        <v>1598.55</v>
      </c>
      <c r="F197" s="88">
        <v>0</v>
      </c>
      <c r="G197" s="80"/>
      <c r="H197" s="136">
        <f>Tableau3384[[#This Row],[Montant
CHF]]+Tableau3384[[#This Row],[Abzug/Spesen
CHF]]</f>
        <v>1598.55</v>
      </c>
      <c r="I197" s="39"/>
      <c r="J197" s="40"/>
      <c r="K197" s="189"/>
      <c r="L197" s="298"/>
      <c r="M197" s="81" t="s">
        <v>390</v>
      </c>
      <c r="N197" s="21">
        <v>45535</v>
      </c>
      <c r="O197" s="282" t="str">
        <f>IF(Tableau3384[[#This Row],[Date du paiement]]&gt;0,"",Tableau3384[[#This Row],[Montant
CHF]])</f>
        <v/>
      </c>
      <c r="P197" s="276" t="str">
        <f>IF(Tableau3384[[#This Row],[Date du paiement]]="",$B$4-Tableau3384[[#This Row],[Écheance]],"")</f>
        <v/>
      </c>
      <c r="Q197" s="168" t="str">
        <f>IF(Tableau3384[[#This Row],[Date du paiement]]="",IF(Tableau3384[[#This Row],[jours jusqu''à l''écheance]]&gt;0,Tableau3384[[#This Row],[Montant
CHF]],""),"")</f>
        <v/>
      </c>
      <c r="R197" s="298" t="str">
        <f>IF(Tableau3384[[#This Row],[Date du paiement]]="",IF(Tableau3384[[#This Row],[jours jusqu''à l''écheance]]-($B$4-$B$11-1)&gt;0,Tableau3384[[#This Row],[Montant
CHF]],""),"")</f>
        <v/>
      </c>
      <c r="S197" s="142"/>
      <c r="T197" s="95" t="str">
        <f>IF(Tableau3384[[#This Row],[Paiements prevus]]="oui",Tableau3384[[#This Row],[Montant prevu à payer CH]],"")</f>
        <v/>
      </c>
      <c r="U197" s="176"/>
      <c r="V197" s="73">
        <v>2080</v>
      </c>
      <c r="W197" s="68"/>
      <c r="X197" s="23">
        <v>45537</v>
      </c>
      <c r="Y197" s="7" t="s">
        <v>58</v>
      </c>
      <c r="Z197" s="120" t="str">
        <f>IF(Tableau3384[[#This Row],[Méthode du paiement]]="Mastercard","OUI","")</f>
        <v/>
      </c>
      <c r="AA197" s="180" t="s">
        <v>43</v>
      </c>
      <c r="AB197" s="6" t="s">
        <v>392</v>
      </c>
    </row>
    <row r="198" spans="1:28" hidden="1" x14ac:dyDescent="0.25">
      <c r="A198" s="9" t="s">
        <v>389</v>
      </c>
      <c r="B198" s="21">
        <v>45372</v>
      </c>
      <c r="C198" s="21">
        <v>45384</v>
      </c>
      <c r="D198" s="22" t="s">
        <v>388</v>
      </c>
      <c r="E198" s="183">
        <v>1598.55</v>
      </c>
      <c r="F198" s="88">
        <v>0</v>
      </c>
      <c r="G198" s="80"/>
      <c r="H198" s="136">
        <f>Tableau3384[[#This Row],[Montant
CHF]]+Tableau3384[[#This Row],[Abzug/Spesen
CHF]]</f>
        <v>1598.55</v>
      </c>
      <c r="I198" s="39"/>
      <c r="J198" s="40"/>
      <c r="K198" s="189"/>
      <c r="L198" s="298"/>
      <c r="M198" s="81" t="s">
        <v>390</v>
      </c>
      <c r="N198" s="21">
        <v>45412</v>
      </c>
      <c r="O198" s="282" t="str">
        <f>IF(Tableau3384[[#This Row],[Date du paiement]]&gt;0,"",Tableau3384[[#This Row],[Montant
CHF]])</f>
        <v/>
      </c>
      <c r="P198" s="276" t="str">
        <f>IF(Tableau3384[[#This Row],[Date du paiement]]="",$B$4-Tableau3384[[#This Row],[Écheance]],"")</f>
        <v/>
      </c>
      <c r="Q198" s="168" t="str">
        <f>IF(Tableau3384[[#This Row],[Date du paiement]]="",IF(Tableau3384[[#This Row],[jours jusqu''à l''écheance]]&gt;0,Tableau3384[[#This Row],[Montant
CHF]],""),"")</f>
        <v/>
      </c>
      <c r="R198" s="298" t="str">
        <f>IF(Tableau3384[[#This Row],[Date du paiement]]="",IF(Tableau3384[[#This Row],[jours jusqu''à l''écheance]]-($B$4-$B$11-1)&gt;0,Tableau3384[[#This Row],[Montant
CHF]],""),"")</f>
        <v/>
      </c>
      <c r="S198" s="142"/>
      <c r="T198" s="95" t="str">
        <f>IF(Tableau3384[[#This Row],[Paiements prevus]]="oui",Tableau3384[[#This Row],[Montant prevu à payer CH]],"")</f>
        <v/>
      </c>
      <c r="U198" s="448"/>
      <c r="V198" s="73"/>
      <c r="W198" s="68"/>
      <c r="X198" s="441">
        <v>45412</v>
      </c>
      <c r="Y198" s="7" t="s">
        <v>58</v>
      </c>
      <c r="Z198" s="120" t="str">
        <f>IF(Tableau3384[[#This Row],[Méthode du paiement]]="Mastercard","OUI","")</f>
        <v/>
      </c>
      <c r="AA198" s="180" t="s">
        <v>43</v>
      </c>
      <c r="AB198" s="6" t="s">
        <v>391</v>
      </c>
    </row>
    <row r="199" spans="1:28" hidden="1" x14ac:dyDescent="0.25">
      <c r="A199" s="9" t="s">
        <v>389</v>
      </c>
      <c r="B199" s="21">
        <v>45372</v>
      </c>
      <c r="C199" s="21">
        <v>45384</v>
      </c>
      <c r="D199" s="22" t="s">
        <v>388</v>
      </c>
      <c r="E199" s="183">
        <v>1598.55</v>
      </c>
      <c r="F199" s="88">
        <v>0</v>
      </c>
      <c r="G199" s="80"/>
      <c r="H199" s="136">
        <f>Tableau3384[[#This Row],[Montant
CHF]]+Tableau3384[[#This Row],[Abzug/Spesen
CHF]]</f>
        <v>1598.55</v>
      </c>
      <c r="I199" s="39"/>
      <c r="J199" s="40"/>
      <c r="K199" s="189"/>
      <c r="L199" s="298"/>
      <c r="M199" s="81" t="s">
        <v>390</v>
      </c>
      <c r="N199" s="21">
        <v>45657</v>
      </c>
      <c r="O199" s="282">
        <f>IF(Tableau3384[[#This Row],[Date du paiement]]&gt;0,"",Tableau3384[[#This Row],[Montant
CHF]])</f>
        <v>1598.55</v>
      </c>
      <c r="P199" s="276">
        <f ca="1">IF(Tableau3384[[#This Row],[Date du paiement]]="",$B$4-Tableau3384[[#This Row],[Écheance]],"")</f>
        <v>-39.53057465278107</v>
      </c>
      <c r="Q199" s="168" t="str">
        <f ca="1">IF(Tableau3384[[#This Row],[Date du paiement]]="",IF(Tableau3384[[#This Row],[jours jusqu''à l''écheance]]&gt;0,Tableau3384[[#This Row],[Montant
CHF]],""),"")</f>
        <v/>
      </c>
      <c r="R199" s="298" t="str">
        <f ca="1">IF(Tableau3384[[#This Row],[Date du paiement]]="",IF(Tableau3384[[#This Row],[jours jusqu''à l''écheance]]-($B$4-$B$11-1)&gt;0,Tableau3384[[#This Row],[Montant
CHF]],""),"")</f>
        <v/>
      </c>
      <c r="S199" s="142"/>
      <c r="T199" s="95" t="str">
        <f>IF(Tableau3384[[#This Row],[Paiements prevus]]="oui",Tableau3384[[#This Row],[Montant prevu à payer CH]],"")</f>
        <v/>
      </c>
      <c r="U199" s="448"/>
      <c r="V199" s="73">
        <v>2080</v>
      </c>
      <c r="W199" s="68"/>
      <c r="X199" s="23"/>
      <c r="Y199" s="7"/>
      <c r="Z199" s="120" t="str">
        <f>IF(Tableau3384[[#This Row],[Méthode du paiement]]="Mastercard","OUI","")</f>
        <v/>
      </c>
      <c r="AA199" s="180" t="s">
        <v>43</v>
      </c>
      <c r="AB199" s="6" t="s">
        <v>393</v>
      </c>
    </row>
    <row r="200" spans="1:28" hidden="1" x14ac:dyDescent="0.25">
      <c r="A200" s="9" t="s">
        <v>389</v>
      </c>
      <c r="B200" s="21">
        <v>45372</v>
      </c>
      <c r="C200" s="21">
        <v>45384</v>
      </c>
      <c r="D200" s="22" t="s">
        <v>388</v>
      </c>
      <c r="E200" s="11">
        <v>5423</v>
      </c>
      <c r="F200" s="88">
        <v>0</v>
      </c>
      <c r="G200" s="80"/>
      <c r="H200" s="136">
        <f>Tableau3384[[#This Row],[Montant
CHF]]+Tableau3384[[#This Row],[Abzug/Spesen
CHF]]</f>
        <v>5423</v>
      </c>
      <c r="I200" s="39"/>
      <c r="J200" s="40"/>
      <c r="K200" s="189"/>
      <c r="L200" s="298"/>
      <c r="M200" s="81" t="s">
        <v>442</v>
      </c>
      <c r="N200" s="21">
        <v>45747</v>
      </c>
      <c r="O200" s="282">
        <f>IF(Tableau3384[[#This Row],[Date du paiement]]&gt;0,"",Tableau3384[[#This Row],[Montant
CHF]])</f>
        <v>5423</v>
      </c>
      <c r="P200" s="276">
        <f ca="1">IF(Tableau3384[[#This Row],[Date du paiement]]="",$B$4-Tableau3384[[#This Row],[Écheance]],"")</f>
        <v>-129.53057465278107</v>
      </c>
      <c r="Q200" s="168" t="str">
        <f ca="1">IF(Tableau3384[[#This Row],[Date du paiement]]="",IF(Tableau3384[[#This Row],[jours jusqu''à l''écheance]]&gt;0,Tableau3384[[#This Row],[Montant
CHF]],""),"")</f>
        <v/>
      </c>
      <c r="R200" s="298" t="str">
        <f ca="1">IF(Tableau3384[[#This Row],[Date du paiement]]="",IF(Tableau3384[[#This Row],[jours jusqu''à l''écheance]]-($B$4-$B$11-1)&gt;0,Tableau3384[[#This Row],[Montant
CHF]],""),"")</f>
        <v/>
      </c>
      <c r="S200" s="142"/>
      <c r="T200" s="95" t="str">
        <f>IF(Tableau3384[[#This Row],[Paiements prevus]]="oui",Tableau3384[[#This Row],[Montant prevu à payer CH]],"")</f>
        <v/>
      </c>
      <c r="U200" s="176"/>
      <c r="V200" s="73">
        <v>2080</v>
      </c>
      <c r="W200" s="68"/>
      <c r="X200" s="23"/>
      <c r="Y200" s="7"/>
      <c r="Z200" s="120" t="str">
        <f>IF(Tableau3384[[#This Row],[Méthode du paiement]]="Mastercard","OUI","")</f>
        <v/>
      </c>
      <c r="AA200" s="6" t="s">
        <v>43</v>
      </c>
      <c r="AB200" s="6" t="s">
        <v>441</v>
      </c>
    </row>
    <row r="201" spans="1:28" hidden="1" x14ac:dyDescent="0.25">
      <c r="A201" s="9" t="s">
        <v>346</v>
      </c>
      <c r="B201" s="21">
        <v>45373</v>
      </c>
      <c r="C201" s="21">
        <v>45373</v>
      </c>
      <c r="D201" s="155" t="s">
        <v>347</v>
      </c>
      <c r="E201" s="11">
        <v>1243.1500000000001</v>
      </c>
      <c r="F201" s="88">
        <v>8.1</v>
      </c>
      <c r="G201" s="80"/>
      <c r="H201" s="136">
        <f>Tableau3384[[#This Row],[Montant
CHF]]+Tableau3384[[#This Row],[Abzug/Spesen
CHF]]</f>
        <v>1243.1500000000001</v>
      </c>
      <c r="I201" s="39"/>
      <c r="J201" s="40"/>
      <c r="K201" s="189"/>
      <c r="L201" s="298"/>
      <c r="M201" s="81"/>
      <c r="N201" s="21">
        <v>45404</v>
      </c>
      <c r="O201" s="282" t="str">
        <f>IF(Tableau3384[[#This Row],[Date du paiement]]&gt;0,"",Tableau3384[[#This Row],[Montant
CHF]])</f>
        <v/>
      </c>
      <c r="P201" s="276" t="str">
        <f>IF(Tableau3384[[#This Row],[Date du paiement]]="",$B$4-Tableau3384[[#This Row],[Écheance]],"")</f>
        <v/>
      </c>
      <c r="Q201" s="168" t="str">
        <f>IF(Tableau3384[[#This Row],[Date du paiement]]="",IF(Tableau3384[[#This Row],[jours jusqu''à l''écheance]]&gt;0,Tableau3384[[#This Row],[Montant
CHF]],""),"")</f>
        <v/>
      </c>
      <c r="R201" s="298" t="str">
        <f>IF(Tableau3384[[#This Row],[Date du paiement]]="",IF(Tableau3384[[#This Row],[jours jusqu''à l''écheance]]-($B$4-$B$11-1)&gt;0,Tableau3384[[#This Row],[Montant
CHF]],""),"")</f>
        <v/>
      </c>
      <c r="S201" s="142"/>
      <c r="T201" s="95" t="str">
        <f>IF(Tableau3384[[#This Row],[Paiements prevus]]="oui",Tableau3384[[#This Row],[Montant prevu à payer CH]],"")</f>
        <v/>
      </c>
      <c r="U201" s="129"/>
      <c r="V201" s="73"/>
      <c r="W201" s="68"/>
      <c r="X201" s="23">
        <v>45404</v>
      </c>
      <c r="Y201" s="7" t="s">
        <v>58</v>
      </c>
      <c r="Z201" s="120" t="str">
        <f>IF(Tableau3384[[#This Row],[Méthode du paiement]]="Mastercard","OUI","")</f>
        <v/>
      </c>
      <c r="AA201" s="6" t="s">
        <v>43</v>
      </c>
      <c r="AB201" s="6" t="s">
        <v>348</v>
      </c>
    </row>
    <row r="202" spans="1:28" hidden="1" x14ac:dyDescent="0.25">
      <c r="A202" s="9" t="s">
        <v>333</v>
      </c>
      <c r="B202" s="21">
        <v>45373</v>
      </c>
      <c r="C202" s="21">
        <v>45376</v>
      </c>
      <c r="D202" s="186" t="s">
        <v>279</v>
      </c>
      <c r="E202" s="11">
        <v>5000</v>
      </c>
      <c r="F202" s="88">
        <v>0</v>
      </c>
      <c r="G202" s="80"/>
      <c r="H202" s="136">
        <f>Tableau3384[[#This Row],[Montant
CHF]]+Tableau3384[[#This Row],[Abzug/Spesen
CHF]]</f>
        <v>5000</v>
      </c>
      <c r="I202" s="39"/>
      <c r="J202" s="40"/>
      <c r="K202" s="189"/>
      <c r="L202" s="298"/>
      <c r="M202" s="81"/>
      <c r="N202" s="21">
        <v>45383</v>
      </c>
      <c r="O202" s="282" t="str">
        <f>IF(Tableau3384[[#This Row],[Date du paiement]]&gt;0,"",Tableau3384[[#This Row],[Montant
CHF]])</f>
        <v/>
      </c>
      <c r="P202" s="276" t="str">
        <f>IF(Tableau3384[[#This Row],[Date du paiement]]="",$B$4-Tableau3384[[#This Row],[Écheance]],"")</f>
        <v/>
      </c>
      <c r="Q202" s="168" t="str">
        <f>IF(Tableau3384[[#This Row],[Date du paiement]]="",IF(Tableau3384[[#This Row],[jours jusqu''à l''écheance]]&gt;0,Tableau3384[[#This Row],[Montant
CHF]],""),"")</f>
        <v/>
      </c>
      <c r="R202" s="298" t="str">
        <f>IF(Tableau3384[[#This Row],[Date du paiement]]="",IF(Tableau3384[[#This Row],[jours jusqu''à l''écheance]]-($B$4-$B$11-1)&gt;0,Tableau3384[[#This Row],[Montant
CHF]],""),"")</f>
        <v/>
      </c>
      <c r="S202" s="142"/>
      <c r="T202" s="95" t="str">
        <f>IF(Tableau3384[[#This Row],[Paiements prevus]]="oui",Tableau3384[[#This Row],[Montant prevu à payer CH]],"")</f>
        <v/>
      </c>
      <c r="U202" s="129"/>
      <c r="V202" s="73"/>
      <c r="W202" s="68"/>
      <c r="X202" s="23">
        <v>45404</v>
      </c>
      <c r="Y202" s="7" t="s">
        <v>58</v>
      </c>
      <c r="Z202" s="120" t="str">
        <f>IF(Tableau3384[[#This Row],[Méthode du paiement]]="Mastercard","OUI","")</f>
        <v/>
      </c>
      <c r="AA202" s="6" t="s">
        <v>332</v>
      </c>
      <c r="AB202" s="6" t="s">
        <v>336</v>
      </c>
    </row>
    <row r="203" spans="1:28" hidden="1" x14ac:dyDescent="0.25">
      <c r="A203" s="9" t="s">
        <v>334</v>
      </c>
      <c r="B203" s="21">
        <v>45373</v>
      </c>
      <c r="C203" s="21">
        <v>45376</v>
      </c>
      <c r="D203" s="22" t="s">
        <v>279</v>
      </c>
      <c r="E203" s="11">
        <v>5000</v>
      </c>
      <c r="F203" s="88">
        <v>0</v>
      </c>
      <c r="G203" s="80"/>
      <c r="H203" s="136">
        <f>Tableau3384[[#This Row],[Montant
CHF]]+Tableau3384[[#This Row],[Abzug/Spesen
CHF]]</f>
        <v>5000</v>
      </c>
      <c r="I203" s="39"/>
      <c r="J203" s="40"/>
      <c r="K203" s="189"/>
      <c r="L203" s="298"/>
      <c r="M203" s="81"/>
      <c r="N203" s="21">
        <v>45413</v>
      </c>
      <c r="O203" s="282" t="str">
        <f>IF(Tableau3384[[#This Row],[Date du paiement]]&gt;0,"",Tableau3384[[#This Row],[Montant
CHF]])</f>
        <v/>
      </c>
      <c r="P203" s="276" t="str">
        <f>IF(Tableau3384[[#This Row],[Date du paiement]]="",$B$4-Tableau3384[[#This Row],[Écheance]],"")</f>
        <v/>
      </c>
      <c r="Q203" s="168" t="str">
        <f>IF(Tableau3384[[#This Row],[Date du paiement]]="",IF(Tableau3384[[#This Row],[jours jusqu''à l''écheance]]&gt;0,Tableau3384[[#This Row],[Montant
CHF]],""),"")</f>
        <v/>
      </c>
      <c r="R203" s="298" t="str">
        <f>IF(Tableau3384[[#This Row],[Date du paiement]]="",IF(Tableau3384[[#This Row],[jours jusqu''à l''écheance]]-($B$4-$B$11-1)&gt;0,Tableau3384[[#This Row],[Montant
CHF]],""),"")</f>
        <v/>
      </c>
      <c r="S203" s="142"/>
      <c r="T203" s="95" t="str">
        <f>IF(Tableau3384[[#This Row],[Paiements prevus]]="oui",Tableau3384[[#This Row],[Montant prevu à payer CH]],"")</f>
        <v/>
      </c>
      <c r="U203" s="129"/>
      <c r="V203" s="73"/>
      <c r="W203" s="68"/>
      <c r="X203" s="23">
        <v>45427</v>
      </c>
      <c r="Y203" s="7" t="s">
        <v>58</v>
      </c>
      <c r="Z203" s="120" t="str">
        <f>IF(Tableau3384[[#This Row],[Méthode du paiement]]="Mastercard","OUI","")</f>
        <v/>
      </c>
      <c r="AA203" s="6" t="s">
        <v>332</v>
      </c>
      <c r="AB203" s="6" t="s">
        <v>337</v>
      </c>
    </row>
    <row r="204" spans="1:28" hidden="1" x14ac:dyDescent="0.25">
      <c r="A204" s="9" t="s">
        <v>335</v>
      </c>
      <c r="B204" s="21">
        <v>45373</v>
      </c>
      <c r="C204" s="21">
        <v>45376</v>
      </c>
      <c r="D204" s="22" t="s">
        <v>279</v>
      </c>
      <c r="E204" s="11">
        <v>5000</v>
      </c>
      <c r="F204" s="88">
        <v>0</v>
      </c>
      <c r="G204" s="80"/>
      <c r="H204" s="136">
        <f>Tableau3384[[#This Row],[Montant
CHF]]+Tableau3384[[#This Row],[Abzug/Spesen
CHF]]</f>
        <v>5000</v>
      </c>
      <c r="I204" s="39"/>
      <c r="J204" s="40"/>
      <c r="K204" s="189"/>
      <c r="L204" s="298"/>
      <c r="M204" s="81"/>
      <c r="N204" s="21">
        <v>45444</v>
      </c>
      <c r="O204" s="282" t="str">
        <f>IF(Tableau3384[[#This Row],[Date du paiement]]&gt;0,"",Tableau3384[[#This Row],[Montant
CHF]])</f>
        <v/>
      </c>
      <c r="P204" s="276" t="str">
        <f>IF(Tableau3384[[#This Row],[Date du paiement]]="",$B$4-Tableau3384[[#This Row],[Écheance]],"")</f>
        <v/>
      </c>
      <c r="Q204" s="168" t="str">
        <f>IF(Tableau3384[[#This Row],[Date du paiement]]="",IF(Tableau3384[[#This Row],[jours jusqu''à l''écheance]]&gt;0,Tableau3384[[#This Row],[Montant
CHF]],""),"")</f>
        <v/>
      </c>
      <c r="R204" s="298" t="str">
        <f>IF(Tableau3384[[#This Row],[Date du paiement]]="",IF(Tableau3384[[#This Row],[jours jusqu''à l''écheance]]+(B12-B19)&gt;0,Tableau3384[[#This Row],[Montant
CHF]],""),"")</f>
        <v/>
      </c>
      <c r="S204" s="142"/>
      <c r="T204" s="95" t="str">
        <f>IF(Tableau3384[[#This Row],[Paiements prevus]]="oui",Tableau3384[[#This Row],[Montant prevu à payer CH]],"")</f>
        <v/>
      </c>
      <c r="U204" s="129"/>
      <c r="V204" s="73"/>
      <c r="W204" s="68"/>
      <c r="X204" s="23">
        <v>45446</v>
      </c>
      <c r="Y204" s="7" t="s">
        <v>345</v>
      </c>
      <c r="Z204" s="120" t="str">
        <f>IF(Tableau3384[[#This Row],[Méthode du paiement]]="Mastercard","OUI","")</f>
        <v/>
      </c>
      <c r="AA204" s="6" t="s">
        <v>332</v>
      </c>
      <c r="AB204" s="6" t="s">
        <v>338</v>
      </c>
    </row>
    <row r="205" spans="1:28" hidden="1" x14ac:dyDescent="0.25">
      <c r="A205" s="9" t="s">
        <v>529</v>
      </c>
      <c r="B205" s="21">
        <v>45373</v>
      </c>
      <c r="C205" s="21">
        <v>45377</v>
      </c>
      <c r="D205" s="22" t="s">
        <v>13</v>
      </c>
      <c r="E205" s="11">
        <f>Tableau3384[[#This Row],[Montant
EUR]]*Tableau3384[[#This Row],[Taux 
de change]]</f>
        <v>27203.529502247999</v>
      </c>
      <c r="F205" s="88">
        <v>0</v>
      </c>
      <c r="G205" s="80"/>
      <c r="H205" s="136">
        <f>Tableau3384[[#This Row],[Montant
CHF]]+Tableau3384[[#This Row],[Abzug/Spesen
CHF]]</f>
        <v>27203.529502247999</v>
      </c>
      <c r="I205" s="39">
        <v>0.98599380000000003</v>
      </c>
      <c r="J205" s="40">
        <v>27589.96</v>
      </c>
      <c r="K205" s="189"/>
      <c r="L205" s="298"/>
      <c r="M205" s="81"/>
      <c r="N205" s="21">
        <v>45434</v>
      </c>
      <c r="O205" s="282" t="str">
        <f>IF(Tableau3384[[#This Row],[Date du paiement]]&gt;0,"",Tableau3384[[#This Row],[Montant
CHF]])</f>
        <v/>
      </c>
      <c r="P205" s="276" t="str">
        <f>IF(Tableau3384[[#This Row],[Date du paiement]]="",$B$4-Tableau3384[[#This Row],[Écheance]],"")</f>
        <v/>
      </c>
      <c r="Q205" s="168" t="str">
        <f>IF(Tableau3384[[#This Row],[Date du paiement]]="",IF(Tableau3384[[#This Row],[jours jusqu''à l''écheance]]&gt;0,Tableau3384[[#This Row],[Montant
CHF]],""),"")</f>
        <v/>
      </c>
      <c r="R205" s="298" t="str">
        <f>IF(Tableau3384[[#This Row],[Date du paiement]]="",IF(Tableau3384[[#This Row],[jours jusqu''à l''écheance]]-($B$4-$B$11-1)&gt;0,Tableau3384[[#This Row],[Montant
CHF]],""),"")</f>
        <v/>
      </c>
      <c r="S205" s="142"/>
      <c r="T205" s="95" t="str">
        <f>IF(Tableau3384[[#This Row],[Paiements prevus]]="oui",Tableau3384[[#This Row],[Montant prevu à payer CH]],"")</f>
        <v/>
      </c>
      <c r="U205" s="129"/>
      <c r="V205" s="73">
        <v>2002</v>
      </c>
      <c r="W205" s="68"/>
      <c r="X205" s="23">
        <v>45446</v>
      </c>
      <c r="Y205" s="7" t="s">
        <v>58</v>
      </c>
      <c r="Z205" s="120" t="str">
        <f>IF(Tableau3384[[#This Row],[Méthode du paiement]]="Mastercard","OUI","")</f>
        <v/>
      </c>
      <c r="AA205" s="6" t="s">
        <v>14</v>
      </c>
      <c r="AB205" s="6" t="s">
        <v>349</v>
      </c>
    </row>
    <row r="206" spans="1:28" hidden="1" x14ac:dyDescent="0.25">
      <c r="A206" s="9" t="s">
        <v>418</v>
      </c>
      <c r="B206" s="21">
        <v>45376</v>
      </c>
      <c r="C206" s="21">
        <v>45376</v>
      </c>
      <c r="D206" s="22" t="s">
        <v>419</v>
      </c>
      <c r="E206" s="11">
        <v>25.2</v>
      </c>
      <c r="F206" s="88">
        <v>8.1</v>
      </c>
      <c r="G206" s="80"/>
      <c r="H206" s="136">
        <f>Tableau3384[[#This Row],[Montant
CHF]]+Tableau3384[[#This Row],[Abzug/Spesen
CHF]]</f>
        <v>25.2</v>
      </c>
      <c r="I206" s="39"/>
      <c r="J206" s="40"/>
      <c r="K206" s="189"/>
      <c r="L206" s="298"/>
      <c r="M206" s="81"/>
      <c r="N206" s="21">
        <v>45376</v>
      </c>
      <c r="O206" s="282" t="str">
        <f>IF(Tableau3384[[#This Row],[Date du paiement]]&gt;0,"",Tableau3384[[#This Row],[Montant
CHF]])</f>
        <v/>
      </c>
      <c r="P206" s="276" t="str">
        <f>IF(Tableau3384[[#This Row],[Date du paiement]]="",$B$4-Tableau3384[[#This Row],[Écheance]],"")</f>
        <v/>
      </c>
      <c r="Q206" s="168" t="str">
        <f>IF(Tableau3384[[#This Row],[Date du paiement]]="",IF(Tableau3384[[#This Row],[jours jusqu''à l''écheance]]&gt;0,Tableau3384[[#This Row],[Montant
CHF]],""),"")</f>
        <v/>
      </c>
      <c r="R206" s="298" t="str">
        <f>IF(Tableau3384[[#This Row],[Date du paiement]]="",IF(Tableau3384[[#This Row],[jours jusqu''à l''écheance]]-($B$4-$B$11-1)&gt;0,Tableau3384[[#This Row],[Montant
CHF]],""),"")</f>
        <v/>
      </c>
      <c r="S206" s="142"/>
      <c r="T206" s="95" t="str">
        <f>IF(Tableau3384[[#This Row],[Paiements prevus]]="oui",Tableau3384[[#This Row],[Montant prevu à payer CH]],"")</f>
        <v/>
      </c>
      <c r="U206" s="129"/>
      <c r="V206" s="73"/>
      <c r="W206" s="68"/>
      <c r="X206" s="23">
        <v>45384</v>
      </c>
      <c r="Y206" s="7" t="s">
        <v>58</v>
      </c>
      <c r="Z206" s="120" t="str">
        <f>IF(Tableau3384[[#This Row],[Méthode du paiement]]="Mastercard","OUI","")</f>
        <v/>
      </c>
      <c r="AA206" s="6" t="s">
        <v>102</v>
      </c>
      <c r="AB206" s="6" t="s">
        <v>420</v>
      </c>
    </row>
    <row r="207" spans="1:28" hidden="1" x14ac:dyDescent="0.25">
      <c r="A207" s="9" t="s">
        <v>355</v>
      </c>
      <c r="B207" s="21">
        <v>45376</v>
      </c>
      <c r="C207" s="21">
        <v>45376</v>
      </c>
      <c r="D207" s="22" t="s">
        <v>188</v>
      </c>
      <c r="E207" s="11">
        <v>300.64999999999998</v>
      </c>
      <c r="F207" s="88">
        <v>8.1</v>
      </c>
      <c r="G207" s="80"/>
      <c r="H207" s="136">
        <f>Tableau3384[[#This Row],[Montant
CHF]]+Tableau3384[[#This Row],[Abzug/Spesen
CHF]]</f>
        <v>300.64999999999998</v>
      </c>
      <c r="I207" s="39"/>
      <c r="J207" s="40"/>
      <c r="K207" s="189"/>
      <c r="L207" s="298"/>
      <c r="M207" s="81"/>
      <c r="N207" s="21">
        <v>45376</v>
      </c>
      <c r="O207" s="282" t="str">
        <f>IF(Tableau3384[[#This Row],[Date du paiement]]&gt;0,"",Tableau3384[[#This Row],[Montant
CHF]])</f>
        <v/>
      </c>
      <c r="P207" s="276" t="str">
        <f>IF(Tableau3384[[#This Row],[Date du paiement]]="",$B$4-Tableau3384[[#This Row],[Écheance]],"")</f>
        <v/>
      </c>
      <c r="Q207" s="168" t="str">
        <f>IF(Tableau3384[[#This Row],[Date du paiement]]="",IF(Tableau3384[[#This Row],[jours jusqu''à l''écheance]]&gt;0,Tableau3384[[#This Row],[Montant
CHF]],""),"")</f>
        <v/>
      </c>
      <c r="R207" s="298" t="str">
        <f>IF(Tableau3384[[#This Row],[Date du paiement]]="",IF(Tableau3384[[#This Row],[jours jusqu''à l''écheance]]-($B$4-$B$11-1)&gt;0,Tableau3384[[#This Row],[Montant
CHF]],""),"")</f>
        <v/>
      </c>
      <c r="S207" s="142"/>
      <c r="T207" s="95" t="str">
        <f>IF(Tableau3384[[#This Row],[Paiements prevus]]="oui",Tableau3384[[#This Row],[Montant prevu à payer CH]],"")</f>
        <v/>
      </c>
      <c r="U207" s="129"/>
      <c r="V207" s="73"/>
      <c r="W207" s="68"/>
      <c r="X207" s="23">
        <v>45384</v>
      </c>
      <c r="Y207" s="7" t="s">
        <v>58</v>
      </c>
      <c r="Z207" s="120" t="str">
        <f>IF(Tableau3384[[#This Row],[Méthode du paiement]]="Mastercard","OUI","")</f>
        <v/>
      </c>
      <c r="AA207" s="6" t="s">
        <v>14</v>
      </c>
      <c r="AB207" s="6" t="s">
        <v>189</v>
      </c>
    </row>
    <row r="208" spans="1:28" hidden="1" x14ac:dyDescent="0.25">
      <c r="A208" s="9" t="s">
        <v>812</v>
      </c>
      <c r="B208" s="21">
        <v>45376</v>
      </c>
      <c r="C208" s="21">
        <v>45463</v>
      </c>
      <c r="D208" s="22" t="s">
        <v>169</v>
      </c>
      <c r="E208" s="11">
        <v>190</v>
      </c>
      <c r="F208" s="88">
        <v>0</v>
      </c>
      <c r="G208" s="80"/>
      <c r="H208" s="136">
        <f>Tableau3384[[#This Row],[Montant
CHF]]+Tableau3384[[#This Row],[Abzug/Spesen
CHF]]</f>
        <v>190</v>
      </c>
      <c r="I208" s="39"/>
      <c r="J208" s="40"/>
      <c r="K208" s="189"/>
      <c r="L208" s="298"/>
      <c r="M208" s="81"/>
      <c r="N208" s="21">
        <v>45407</v>
      </c>
      <c r="O208" s="282" t="str">
        <f>IF(Tableau3384[[#This Row],[Date du paiement]]&gt;0,"",Tableau3384[[#This Row],[Montant
CHF]])</f>
        <v/>
      </c>
      <c r="P208" s="287" t="str">
        <f>IF(Tableau3384[[#This Row],[Date du paiement]]="",$B$4-Tableau3384[[#This Row],[Écheance]],"")</f>
        <v/>
      </c>
      <c r="Q208" s="168" t="str">
        <f>IF(Tableau3384[[#This Row],[Date du paiement]]="",IF(Tableau3384[[#This Row],[jours jusqu''à l''écheance]]&gt;0,Tableau3384[[#This Row],[Montant
CHF]],""),"")</f>
        <v/>
      </c>
      <c r="R208" s="298" t="str">
        <f>IF(Tableau3384[[#This Row],[Date du paiement]]="",IF(Tableau3384[[#This Row],[jours jusqu''à l''écheance]]&gt;0,Tableau3384[[#This Row],[Montant
CHF]],""),"")</f>
        <v/>
      </c>
      <c r="S208" s="142"/>
      <c r="T208" s="95" t="str">
        <f>IF(Tableau3384[[#This Row],[Paiements prevus]]="oui",Tableau3384[[#This Row],[Montant prevu à payer CH]],"")</f>
        <v/>
      </c>
      <c r="U208" s="177"/>
      <c r="V208" s="73" t="s">
        <v>735</v>
      </c>
      <c r="W208" s="68"/>
      <c r="X208" s="23">
        <v>45469</v>
      </c>
      <c r="Y208" s="7" t="s">
        <v>58</v>
      </c>
      <c r="Z208" s="120" t="str">
        <f>IF(Tableau3384[[#This Row],[Méthode du paiement]]="Mastercard","OUI","")</f>
        <v/>
      </c>
      <c r="AA208" s="6" t="s">
        <v>43</v>
      </c>
      <c r="AB208" s="6" t="s">
        <v>181</v>
      </c>
    </row>
    <row r="209" spans="1:28" hidden="1" x14ac:dyDescent="0.25">
      <c r="A209" s="9" t="s">
        <v>350</v>
      </c>
      <c r="B209" s="21">
        <v>45377</v>
      </c>
      <c r="C209" s="21">
        <v>45379</v>
      </c>
      <c r="D209" s="22" t="s">
        <v>351</v>
      </c>
      <c r="E209" s="11">
        <v>94.5</v>
      </c>
      <c r="F209" s="88" t="s">
        <v>0</v>
      </c>
      <c r="G209" s="80"/>
      <c r="H209" s="136">
        <f>Tableau3384[[#This Row],[Montant
CHF]]+Tableau3384[[#This Row],[Abzug/Spesen
CHF]]</f>
        <v>94.5</v>
      </c>
      <c r="I209" s="39"/>
      <c r="J209" s="40"/>
      <c r="K209" s="189"/>
      <c r="L209" s="298"/>
      <c r="M209" s="81"/>
      <c r="N209" s="21">
        <v>45388</v>
      </c>
      <c r="O209" s="282" t="str">
        <f>IF(Tableau3384[[#This Row],[Date du paiement]]&gt;0,"",Tableau3384[[#This Row],[Montant
CHF]])</f>
        <v/>
      </c>
      <c r="P209" s="276" t="str">
        <f>IF(Tableau3384[[#This Row],[Date du paiement]]="",$B$4-Tableau3384[[#This Row],[Écheance]],"")</f>
        <v/>
      </c>
      <c r="Q209" s="168" t="str">
        <f>IF(Tableau3384[[#This Row],[Date du paiement]]="",IF(Tableau3384[[#This Row],[jours jusqu''à l''écheance]]&gt;0,Tableau3384[[#This Row],[Montant
CHF]],""),"")</f>
        <v/>
      </c>
      <c r="R209" s="298" t="str">
        <f>IF(Tableau3384[[#This Row],[Date du paiement]]="",IF(Tableau3384[[#This Row],[jours jusqu''à l''écheance]]-($B$4-$B$11-1)&gt;0,Tableau3384[[#This Row],[Montant
CHF]],""),"")</f>
        <v/>
      </c>
      <c r="S209" s="142"/>
      <c r="T209" s="95" t="str">
        <f>IF(Tableau3384[[#This Row],[Paiements prevus]]="oui",Tableau3384[[#This Row],[Montant prevu à payer CH]],"")</f>
        <v/>
      </c>
      <c r="U209" s="129"/>
      <c r="V209" s="73"/>
      <c r="W209" s="68"/>
      <c r="X209" s="23">
        <v>45408</v>
      </c>
      <c r="Y209" s="7" t="s">
        <v>58</v>
      </c>
      <c r="Z209" s="120" t="str">
        <f>IF(Tableau3384[[#This Row],[Méthode du paiement]]="Mastercard","OUI","")</f>
        <v/>
      </c>
      <c r="AA209" s="6" t="s">
        <v>26</v>
      </c>
      <c r="AB209" s="6" t="s">
        <v>352</v>
      </c>
    </row>
    <row r="210" spans="1:28" hidden="1" x14ac:dyDescent="0.25">
      <c r="A210" s="9" t="s">
        <v>342</v>
      </c>
      <c r="B210" s="21">
        <v>45378</v>
      </c>
      <c r="C210" s="21">
        <v>45378</v>
      </c>
      <c r="D210" s="22" t="s">
        <v>22</v>
      </c>
      <c r="E210" s="11">
        <v>927.5</v>
      </c>
      <c r="F210" s="88">
        <v>8.1</v>
      </c>
      <c r="G210" s="80"/>
      <c r="H210" s="136">
        <f>Tableau3384[[#This Row],[Montant
CHF]]+Tableau3384[[#This Row],[Abzug/Spesen
CHF]]</f>
        <v>927.5</v>
      </c>
      <c r="I210" s="39"/>
      <c r="J210" s="40"/>
      <c r="K210" s="189"/>
      <c r="L210" s="298"/>
      <c r="M210" s="81"/>
      <c r="N210" s="21">
        <v>45408</v>
      </c>
      <c r="O210" s="282" t="str">
        <f>IF(Tableau3384[[#This Row],[Date du paiement]]&gt;0,"",Tableau3384[[#This Row],[Montant
CHF]])</f>
        <v/>
      </c>
      <c r="P210" s="276" t="str">
        <f>IF(Tableau3384[[#This Row],[Date du paiement]]="",$B$4-Tableau3384[[#This Row],[Écheance]],"")</f>
        <v/>
      </c>
      <c r="Q210" s="168" t="str">
        <f>IF(Tableau3384[[#This Row],[Date du paiement]]="",IF(Tableau3384[[#This Row],[jours jusqu''à l''écheance]]&gt;0,Tableau3384[[#This Row],[Montant
CHF]],""),"")</f>
        <v/>
      </c>
      <c r="R210" s="298" t="str">
        <f>IF(Tableau3384[[#This Row],[Date du paiement]]="",IF(Tableau3384[[#This Row],[jours jusqu''à l''écheance]]-($B$4-$B$11-1)&gt;0,Tableau3384[[#This Row],[Montant
CHF]],""),"")</f>
        <v/>
      </c>
      <c r="S210" s="142"/>
      <c r="T210" s="95" t="str">
        <f>IF(Tableau3384[[#This Row],[Paiements prevus]]="oui",Tableau3384[[#This Row],[Montant prevu à payer CH]],"")</f>
        <v/>
      </c>
      <c r="U210" s="129"/>
      <c r="V210" s="73"/>
      <c r="W210" s="68"/>
      <c r="X210" s="23">
        <v>45408</v>
      </c>
      <c r="Y210" s="7" t="s">
        <v>58</v>
      </c>
      <c r="Z210" s="120" t="str">
        <f>IF(Tableau3384[[#This Row],[Méthode du paiement]]="Mastercard","OUI","")</f>
        <v/>
      </c>
      <c r="AA210" s="6" t="s">
        <v>14</v>
      </c>
      <c r="AB210" s="6" t="s">
        <v>343</v>
      </c>
    </row>
    <row r="211" spans="1:28" hidden="1" x14ac:dyDescent="0.25">
      <c r="A211" s="9" t="s">
        <v>339</v>
      </c>
      <c r="B211" s="21">
        <v>45378</v>
      </c>
      <c r="C211" s="21">
        <v>45378</v>
      </c>
      <c r="D211" s="22" t="s">
        <v>117</v>
      </c>
      <c r="E211" s="11">
        <f>Tableau3384[[#This Row],[Montant
EUR]]*Tableau3384[[#This Row],[Taux 
de change]]</f>
        <v>2133.6588000000002</v>
      </c>
      <c r="F211" s="88">
        <v>0</v>
      </c>
      <c r="G211" s="80"/>
      <c r="H211" s="136">
        <f>Tableau3384[[#This Row],[Montant
CHF]]+Tableau3384[[#This Row],[Abzug/Spesen
CHF]]</f>
        <v>2133.6588000000002</v>
      </c>
      <c r="I211" s="39">
        <v>0.98280000000000001</v>
      </c>
      <c r="J211" s="40">
        <v>2171</v>
      </c>
      <c r="K211" s="189"/>
      <c r="L211" s="298"/>
      <c r="M211" s="81"/>
      <c r="N211" s="21">
        <v>45408</v>
      </c>
      <c r="O211" s="282" t="str">
        <f>IF(Tableau3384[[#This Row],[Date du paiement]]&gt;0,"",Tableau3384[[#This Row],[Montant
CHF]])</f>
        <v/>
      </c>
      <c r="P211" s="276" t="str">
        <f>IF(Tableau3384[[#This Row],[Date du paiement]]="",$B$4-Tableau3384[[#This Row],[Écheance]],"")</f>
        <v/>
      </c>
      <c r="Q211" s="168" t="str">
        <f>IF(Tableau3384[[#This Row],[Date du paiement]]="",IF(Tableau3384[[#This Row],[jours jusqu''à l''écheance]]&gt;0,Tableau3384[[#This Row],[Montant
CHF]],""),"")</f>
        <v/>
      </c>
      <c r="R211" s="298" t="str">
        <f>IF(Tableau3384[[#This Row],[Date du paiement]]="",IF(Tableau3384[[#This Row],[jours jusqu''à l''écheance]]-($B$4-$B$11-1)&gt;0,Tableau3384[[#This Row],[Montant
CHF]],""),"")</f>
        <v/>
      </c>
      <c r="S211" s="142"/>
      <c r="T211" s="95" t="str">
        <f>IF(Tableau3384[[#This Row],[Paiements prevus]]="oui",Tableau3384[[#This Row],[Montant prevu à payer CH]],"")</f>
        <v/>
      </c>
      <c r="U211" s="129"/>
      <c r="V211" s="73"/>
      <c r="W211" s="68"/>
      <c r="X211" s="23">
        <v>45408</v>
      </c>
      <c r="Y211" s="7" t="s">
        <v>58</v>
      </c>
      <c r="Z211" s="120" t="str">
        <f>IF(Tableau3384[[#This Row],[Méthode du paiement]]="Mastercard","OUI","")</f>
        <v/>
      </c>
      <c r="AA211" s="6" t="s">
        <v>14</v>
      </c>
      <c r="AB211" s="6" t="s">
        <v>340</v>
      </c>
    </row>
    <row r="212" spans="1:28" hidden="1" x14ac:dyDescent="0.25">
      <c r="A212" s="9" t="s">
        <v>341</v>
      </c>
      <c r="B212" s="21">
        <v>45378</v>
      </c>
      <c r="C212" s="21">
        <v>45378</v>
      </c>
      <c r="D212" s="22" t="s">
        <v>117</v>
      </c>
      <c r="E212" s="11">
        <f>Tableau3384[[#This Row],[Montant
EUR]]*Tableau3384[[#This Row],[Taux 
de change]]</f>
        <v>540.54</v>
      </c>
      <c r="F212" s="88">
        <v>0</v>
      </c>
      <c r="G212" s="80"/>
      <c r="H212" s="136">
        <f>Tableau3384[[#This Row],[Montant
CHF]]+Tableau3384[[#This Row],[Abzug/Spesen
CHF]]</f>
        <v>540.54</v>
      </c>
      <c r="I212" s="39">
        <v>0.98280000000000001</v>
      </c>
      <c r="J212" s="40">
        <v>550</v>
      </c>
      <c r="K212" s="189"/>
      <c r="L212" s="298"/>
      <c r="M212" s="81"/>
      <c r="N212" s="21">
        <v>45408</v>
      </c>
      <c r="O212" s="282" t="str">
        <f>IF(Tableau3384[[#This Row],[Date du paiement]]&gt;0,"",Tableau3384[[#This Row],[Montant
CHF]])</f>
        <v/>
      </c>
      <c r="P212" s="276" t="str">
        <f>IF(Tableau3384[[#This Row],[Date du paiement]]="",$B$4-Tableau3384[[#This Row],[Écheance]],"")</f>
        <v/>
      </c>
      <c r="Q212" s="168" t="str">
        <f>IF(Tableau3384[[#This Row],[Date du paiement]]="",IF(Tableau3384[[#This Row],[jours jusqu''à l''écheance]]&gt;0,Tableau3384[[#This Row],[Montant
CHF]],""),"")</f>
        <v/>
      </c>
      <c r="R212" s="298" t="str">
        <f>IF(Tableau3384[[#This Row],[Date du paiement]]="",IF(Tableau3384[[#This Row],[jours jusqu''à l''écheance]]-($B$4-$B$11-1)&gt;0,Tableau3384[[#This Row],[Montant
CHF]],""),"")</f>
        <v/>
      </c>
      <c r="S212" s="142"/>
      <c r="T212" s="95" t="str">
        <f>IF(Tableau3384[[#This Row],[Paiements prevus]]="oui",Tableau3384[[#This Row],[Montant prevu à payer CH]],"")</f>
        <v/>
      </c>
      <c r="U212" s="129"/>
      <c r="V212" s="73"/>
      <c r="W212" s="68"/>
      <c r="X212" s="23">
        <v>45408</v>
      </c>
      <c r="Y212" s="7" t="s">
        <v>58</v>
      </c>
      <c r="Z212" s="120" t="str">
        <f>IF(Tableau3384[[#This Row],[Méthode du paiement]]="Mastercard","OUI","")</f>
        <v/>
      </c>
      <c r="AA212" s="6" t="s">
        <v>11</v>
      </c>
      <c r="AB212" s="6" t="s">
        <v>358</v>
      </c>
    </row>
    <row r="213" spans="1:28" hidden="1" x14ac:dyDescent="0.25">
      <c r="A213" s="9" t="s">
        <v>430</v>
      </c>
      <c r="B213" s="21">
        <v>45378</v>
      </c>
      <c r="C213" s="21">
        <v>45378</v>
      </c>
      <c r="D213" s="22" t="s">
        <v>196</v>
      </c>
      <c r="E213" s="11">
        <v>4671.7</v>
      </c>
      <c r="F213" s="88">
        <v>8.1</v>
      </c>
      <c r="G213" s="80"/>
      <c r="H213" s="136">
        <f>Tableau3384[[#This Row],[Montant
CHF]]+Tableau3384[[#This Row],[Abzug/Spesen
CHF]]</f>
        <v>4671.7</v>
      </c>
      <c r="I213" s="39"/>
      <c r="J213" s="40"/>
      <c r="K213" s="189"/>
      <c r="L213" s="298"/>
      <c r="M213" s="81"/>
      <c r="N213" s="21">
        <v>45388</v>
      </c>
      <c r="O213" s="282" t="str">
        <f>IF(Tableau3384[[#This Row],[Date du paiement]]&gt;0,"",Tableau3384[[#This Row],[Montant
CHF]])</f>
        <v/>
      </c>
      <c r="P213" s="276" t="str">
        <f>IF(Tableau3384[[#This Row],[Date du paiement]]="",$B$4-Tableau3384[[#This Row],[Écheance]],"")</f>
        <v/>
      </c>
      <c r="Q213" s="168" t="str">
        <f>IF(Tableau3384[[#This Row],[Date du paiement]]="",IF(Tableau3384[[#This Row],[jours jusqu''à l''écheance]]&gt;0,Tableau3384[[#This Row],[Montant
CHF]],""),"")</f>
        <v/>
      </c>
      <c r="R213" s="298" t="str">
        <f>IF(Tableau3384[[#This Row],[Date du paiement]]="",IF(Tableau3384[[#This Row],[jours jusqu''à l''écheance]]-($B$4-$B$11-1)&gt;0,Tableau3384[[#This Row],[Montant
CHF]],""),"")</f>
        <v/>
      </c>
      <c r="S213" s="142"/>
      <c r="T213" s="95" t="str">
        <f>IF(Tableau3384[[#This Row],[Paiements prevus]]="oui",Tableau3384[[#This Row],[Montant prevu à payer CH]],"")</f>
        <v/>
      </c>
      <c r="U213" s="129"/>
      <c r="V213" s="73"/>
      <c r="W213" s="68"/>
      <c r="X213" s="23">
        <v>45411</v>
      </c>
      <c r="Y213" s="7" t="s">
        <v>58</v>
      </c>
      <c r="Z213" s="120" t="str">
        <f>IF(Tableau3384[[#This Row],[Méthode du paiement]]="Mastercard","OUI","")</f>
        <v/>
      </c>
      <c r="AA213" s="180" t="s">
        <v>4</v>
      </c>
      <c r="AB213" s="6" t="s">
        <v>431</v>
      </c>
    </row>
    <row r="214" spans="1:28" hidden="1" x14ac:dyDescent="0.25">
      <c r="A214" s="9" t="s">
        <v>383</v>
      </c>
      <c r="B214" s="21">
        <v>45378</v>
      </c>
      <c r="C214" s="21">
        <v>45378</v>
      </c>
      <c r="D214" s="186" t="s">
        <v>10</v>
      </c>
      <c r="E214" s="11">
        <v>1595.9</v>
      </c>
      <c r="F214" s="88">
        <v>8.1</v>
      </c>
      <c r="G214" s="80"/>
      <c r="H214" s="136">
        <f>Tableau3384[[#This Row],[Montant
CHF]]+Tableau3384[[#This Row],[Abzug/Spesen
CHF]]</f>
        <v>1595.9</v>
      </c>
      <c r="I214" s="39"/>
      <c r="J214" s="40"/>
      <c r="K214" s="189"/>
      <c r="L214" s="298"/>
      <c r="M214" s="81"/>
      <c r="N214" s="21">
        <v>45409</v>
      </c>
      <c r="O214" s="282" t="str">
        <f>IF(Tableau3384[[#This Row],[Date du paiement]]&gt;0,"",Tableau3384[[#This Row],[Montant
CHF]])</f>
        <v/>
      </c>
      <c r="P214" s="276" t="str">
        <f>IF(Tableau3384[[#This Row],[Date du paiement]]="",$B$4-Tableau3384[[#This Row],[Écheance]],"")</f>
        <v/>
      </c>
      <c r="Q214" s="168" t="str">
        <f>IF(Tableau3384[[#This Row],[Date du paiement]]="",IF(Tableau3384[[#This Row],[jours jusqu''à l''écheance]]&gt;0,Tableau3384[[#This Row],[Montant
CHF]],""),"")</f>
        <v/>
      </c>
      <c r="R214" s="298" t="str">
        <f>IF(Tableau3384[[#This Row],[Date du paiement]]="",IF(Tableau3384[[#This Row],[jours jusqu''à l''écheance]]-($B$4-$B$11-1)&gt;0,Tableau3384[[#This Row],[Montant
CHF]],""),"")</f>
        <v/>
      </c>
      <c r="S214" s="142"/>
      <c r="T214" s="95" t="str">
        <f>IF(Tableau3384[[#This Row],[Paiements prevus]]="oui",Tableau3384[[#This Row],[Montant prevu à payer CH]],"")</f>
        <v/>
      </c>
      <c r="U214" s="129"/>
      <c r="V214" s="73"/>
      <c r="W214" s="68"/>
      <c r="X214" s="23">
        <v>45411</v>
      </c>
      <c r="Y214" s="7" t="s">
        <v>58</v>
      </c>
      <c r="Z214" s="120" t="str">
        <f>IF(Tableau3384[[#This Row],[Méthode du paiement]]="Mastercard","OUI","")</f>
        <v/>
      </c>
      <c r="AA214" s="6" t="s">
        <v>294</v>
      </c>
      <c r="AB214" s="6" t="s">
        <v>384</v>
      </c>
    </row>
    <row r="215" spans="1:28" hidden="1" x14ac:dyDescent="0.25">
      <c r="A215" s="9" t="s">
        <v>379</v>
      </c>
      <c r="B215" s="21">
        <v>45379</v>
      </c>
      <c r="C215" s="21">
        <v>45379</v>
      </c>
      <c r="D215" s="22" t="s">
        <v>380</v>
      </c>
      <c r="E215" s="11">
        <v>75.150000000000006</v>
      </c>
      <c r="F215" s="88">
        <v>8.1</v>
      </c>
      <c r="G215" s="80"/>
      <c r="H215" s="136">
        <f>Tableau3384[[#This Row],[Montant
CHF]]+Tableau3384[[#This Row],[Abzug/Spesen
CHF]]</f>
        <v>75.150000000000006</v>
      </c>
      <c r="I215" s="39"/>
      <c r="J215" s="40"/>
      <c r="K215" s="189"/>
      <c r="L215" s="298"/>
      <c r="M215" s="81"/>
      <c r="N215" s="21">
        <v>45410</v>
      </c>
      <c r="O215" s="282" t="str">
        <f>IF(Tableau3384[[#This Row],[Date du paiement]]&gt;0,"",Tableau3384[[#This Row],[Montant
CHF]])</f>
        <v/>
      </c>
      <c r="P215" s="276" t="str">
        <f>IF(Tableau3384[[#This Row],[Date du paiement]]="",$B$4-Tableau3384[[#This Row],[Écheance]],"")</f>
        <v/>
      </c>
      <c r="Q215" s="168" t="str">
        <f>IF(Tableau3384[[#This Row],[Date du paiement]]="",IF(Tableau3384[[#This Row],[jours jusqu''à l''écheance]]&gt;0,Tableau3384[[#This Row],[Montant
CHF]],""),"")</f>
        <v/>
      </c>
      <c r="R215" s="298" t="str">
        <f>IF(Tableau3384[[#This Row],[Date du paiement]]="",IF(Tableau3384[[#This Row],[jours jusqu''à l''écheance]]-($B$4-$B$11-1)&gt;0,Tableau3384[[#This Row],[Montant
CHF]],""),"")</f>
        <v/>
      </c>
      <c r="S215" s="142"/>
      <c r="T215" s="95" t="str">
        <f>IF(Tableau3384[[#This Row],[Paiements prevus]]="oui",Tableau3384[[#This Row],[Montant prevu à payer CH]],"")</f>
        <v/>
      </c>
      <c r="U215" s="129"/>
      <c r="V215" s="73"/>
      <c r="W215" s="68"/>
      <c r="X215" s="23">
        <v>45411</v>
      </c>
      <c r="Y215" s="7" t="s">
        <v>58</v>
      </c>
      <c r="Z215" s="120" t="str">
        <f>IF(Tableau3384[[#This Row],[Méthode du paiement]]="Mastercard","OUI","")</f>
        <v/>
      </c>
      <c r="AA215" s="6" t="s">
        <v>381</v>
      </c>
      <c r="AB215" s="6" t="s">
        <v>382</v>
      </c>
    </row>
    <row r="216" spans="1:28" hidden="1" x14ac:dyDescent="0.25">
      <c r="A216" s="9" t="s">
        <v>353</v>
      </c>
      <c r="B216" s="21">
        <v>45379</v>
      </c>
      <c r="C216" s="21">
        <v>45379</v>
      </c>
      <c r="D216" s="22" t="s">
        <v>25</v>
      </c>
      <c r="E216" s="11">
        <v>40</v>
      </c>
      <c r="F216" s="88">
        <v>0</v>
      </c>
      <c r="G216" s="80"/>
      <c r="H216" s="136">
        <f>Tableau3384[[#This Row],[Montant
CHF]]+Tableau3384[[#This Row],[Abzug/Spesen
CHF]]</f>
        <v>40</v>
      </c>
      <c r="I216" s="39"/>
      <c r="J216" s="40"/>
      <c r="K216" s="189"/>
      <c r="L216" s="298"/>
      <c r="M216" s="81"/>
      <c r="N216" s="21">
        <v>45400</v>
      </c>
      <c r="O216" s="282" t="str">
        <f>IF(Tableau3384[[#This Row],[Date du paiement]]&gt;0,"",Tableau3384[[#This Row],[Montant
CHF]])</f>
        <v/>
      </c>
      <c r="P216" s="276" t="str">
        <f>IF(Tableau3384[[#This Row],[Date du paiement]]="",$B$4-Tableau3384[[#This Row],[Écheance]],"")</f>
        <v/>
      </c>
      <c r="Q216" s="168" t="str">
        <f>IF(Tableau3384[[#This Row],[Date du paiement]]="",IF(Tableau3384[[#This Row],[jours jusqu''à l''écheance]]&gt;0,Tableau3384[[#This Row],[Montant
CHF]],""),"")</f>
        <v/>
      </c>
      <c r="R216" s="298" t="str">
        <f>IF(Tableau3384[[#This Row],[Date du paiement]]="",IF(Tableau3384[[#This Row],[jours jusqu''à l''écheance]]-($B$4-$B$11-1)&gt;0,Tableau3384[[#This Row],[Montant
CHF]],""),"")</f>
        <v/>
      </c>
      <c r="S216" s="142"/>
      <c r="T216" s="95" t="str">
        <f>IF(Tableau3384[[#This Row],[Paiements prevus]]="oui",Tableau3384[[#This Row],[Montant prevu à payer CH]],"")</f>
        <v/>
      </c>
      <c r="U216" s="129"/>
      <c r="V216" s="73"/>
      <c r="W216" s="68"/>
      <c r="X216" s="23">
        <v>45411</v>
      </c>
      <c r="Y216" s="7" t="s">
        <v>58</v>
      </c>
      <c r="Z216" s="120" t="str">
        <f>IF(Tableau3384[[#This Row],[Méthode du paiement]]="Mastercard","OUI","")</f>
        <v/>
      </c>
      <c r="AA216" s="6" t="s">
        <v>26</v>
      </c>
      <c r="AB216" s="6" t="s">
        <v>354</v>
      </c>
    </row>
    <row r="217" spans="1:28" hidden="1" x14ac:dyDescent="0.25">
      <c r="A217" s="9" t="s">
        <v>386</v>
      </c>
      <c r="B217" s="21">
        <v>45379</v>
      </c>
      <c r="C217" s="21">
        <v>45379</v>
      </c>
      <c r="D217" s="22" t="s">
        <v>171</v>
      </c>
      <c r="E217" s="11">
        <v>7026.5</v>
      </c>
      <c r="F217" s="88">
        <v>8.1</v>
      </c>
      <c r="G217" s="80"/>
      <c r="H217" s="136">
        <f>Tableau3384[[#This Row],[Montant
CHF]]+Tableau3384[[#This Row],[Abzug/Spesen
CHF]]</f>
        <v>7026.5</v>
      </c>
      <c r="I217" s="39"/>
      <c r="J217" s="40"/>
      <c r="K217" s="189"/>
      <c r="L217" s="298"/>
      <c r="M217" s="81"/>
      <c r="N217" s="21">
        <v>45409</v>
      </c>
      <c r="O217" s="282" t="str">
        <f>IF(Tableau3384[[#This Row],[Date du paiement]]&gt;0,"",Tableau3384[[#This Row],[Montant
CHF]])</f>
        <v/>
      </c>
      <c r="P217" s="276" t="str">
        <f>IF(Tableau3384[[#This Row],[Date du paiement]]="",$B$4-Tableau3384[[#This Row],[Écheance]],"")</f>
        <v/>
      </c>
      <c r="Q217" s="168" t="str">
        <f>IF(Tableau3384[[#This Row],[Date du paiement]]="",IF(Tableau3384[[#This Row],[jours jusqu''à l''écheance]]&gt;0,Tableau3384[[#This Row],[Montant
CHF]],""),"")</f>
        <v/>
      </c>
      <c r="R217" s="298" t="str">
        <f>IF(Tableau3384[[#This Row],[Date du paiement]]="",IF(Tableau3384[[#This Row],[jours jusqu''à l''écheance]]-($B$4-$B$11-1)&gt;0,Tableau3384[[#This Row],[Montant
CHF]],""),"")</f>
        <v/>
      </c>
      <c r="S217" s="142"/>
      <c r="T217" s="95" t="str">
        <f>IF(Tableau3384[[#This Row],[Paiements prevus]]="oui",Tableau3384[[#This Row],[Montant prevu à payer CH]],"")</f>
        <v/>
      </c>
      <c r="U217" s="129"/>
      <c r="V217" s="73"/>
      <c r="W217" s="68"/>
      <c r="X217" s="23">
        <v>45411</v>
      </c>
      <c r="Y217" s="7" t="s">
        <v>58</v>
      </c>
      <c r="Z217" s="120" t="str">
        <f>IF(Tableau3384[[#This Row],[Méthode du paiement]]="Mastercard","OUI","")</f>
        <v/>
      </c>
      <c r="AA217" s="6" t="s">
        <v>4</v>
      </c>
      <c r="AB217" s="6" t="s">
        <v>387</v>
      </c>
    </row>
    <row r="218" spans="1:28" hidden="1" x14ac:dyDescent="0.25">
      <c r="A218" s="9" t="s">
        <v>368</v>
      </c>
      <c r="B218" s="21">
        <v>45380</v>
      </c>
      <c r="C218" s="21">
        <v>45385</v>
      </c>
      <c r="D218" s="22" t="s">
        <v>369</v>
      </c>
      <c r="E218" s="11">
        <v>230.85</v>
      </c>
      <c r="F218" s="88">
        <v>2.6</v>
      </c>
      <c r="G218" s="80"/>
      <c r="H218" s="136">
        <f>Tableau3384[[#This Row],[Montant
CHF]]+Tableau3384[[#This Row],[Abzug/Spesen
CHF]]</f>
        <v>230.85</v>
      </c>
      <c r="I218" s="39"/>
      <c r="J218" s="40"/>
      <c r="K218" s="189"/>
      <c r="L218" s="298"/>
      <c r="M218" s="81"/>
      <c r="N218" s="21">
        <v>45411</v>
      </c>
      <c r="O218" s="282" t="str">
        <f>IF(Tableau3384[[#This Row],[Date du paiement]]&gt;0,"",Tableau3384[[#This Row],[Montant
CHF]])</f>
        <v/>
      </c>
      <c r="P218" s="276" t="str">
        <f>IF(Tableau3384[[#This Row],[Date du paiement]]="",$B$4-Tableau3384[[#This Row],[Écheance]],"")</f>
        <v/>
      </c>
      <c r="Q218" s="168" t="str">
        <f>IF(Tableau3384[[#This Row],[Date du paiement]]="",IF(Tableau3384[[#This Row],[jours jusqu''à l''écheance]]&gt;0,Tableau3384[[#This Row],[Montant
CHF]],""),"")</f>
        <v/>
      </c>
      <c r="R218" s="298" t="str">
        <f>IF(Tableau3384[[#This Row],[Date du paiement]]="",IF(Tableau3384[[#This Row],[jours jusqu''à l''écheance]]-($B$4-$B$11-1)&gt;0,Tableau3384[[#This Row],[Montant
CHF]],""),"")</f>
        <v/>
      </c>
      <c r="S218" s="142"/>
      <c r="T218" s="95" t="str">
        <f>IF(Tableau3384[[#This Row],[Paiements prevus]]="oui",Tableau3384[[#This Row],[Montant prevu à payer CH]],"")</f>
        <v/>
      </c>
      <c r="U218" s="129"/>
      <c r="V218" s="73"/>
      <c r="W218" s="68"/>
      <c r="X218" s="23">
        <v>45411</v>
      </c>
      <c r="Y218" s="7" t="s">
        <v>58</v>
      </c>
      <c r="Z218" s="120" t="str">
        <f>IF(Tableau3384[[#This Row],[Méthode du paiement]]="Mastercard","OUI","")</f>
        <v/>
      </c>
      <c r="AA218" s="6" t="s">
        <v>14</v>
      </c>
      <c r="AB218" s="6" t="s">
        <v>370</v>
      </c>
    </row>
    <row r="219" spans="1:28" hidden="1" x14ac:dyDescent="0.25">
      <c r="A219" s="9" t="s">
        <v>421</v>
      </c>
      <c r="B219" s="21">
        <v>45382</v>
      </c>
      <c r="C219" s="21">
        <v>45382</v>
      </c>
      <c r="D219" s="22" t="s">
        <v>171</v>
      </c>
      <c r="E219" s="11">
        <v>5116.16</v>
      </c>
      <c r="F219" s="88">
        <v>8.1</v>
      </c>
      <c r="G219" s="80"/>
      <c r="H219" s="136">
        <f>Tableau3384[[#This Row],[Montant
CHF]]+Tableau3384[[#This Row],[Abzug/Spesen
CHF]]</f>
        <v>5116.16</v>
      </c>
      <c r="I219" s="39"/>
      <c r="J219" s="40"/>
      <c r="K219" s="189"/>
      <c r="L219" s="298"/>
      <c r="M219" s="81" t="s">
        <v>375</v>
      </c>
      <c r="N219" s="21">
        <v>45443</v>
      </c>
      <c r="O219" s="282" t="str">
        <f>IF(Tableau3384[[#This Row],[Date du paiement]]&gt;0,"",Tableau3384[[#This Row],[Montant
CHF]])</f>
        <v/>
      </c>
      <c r="P219" s="276" t="str">
        <f>IF(Tableau3384[[#This Row],[Date du paiement]]="",$B$4-Tableau3384[[#This Row],[Écheance]],"")</f>
        <v/>
      </c>
      <c r="Q219" s="168" t="str">
        <f>IF(Tableau3384[[#This Row],[Date du paiement]]="",IF(Tableau3384[[#This Row],[jours jusqu''à l''écheance]]&gt;0,Tableau3384[[#This Row],[Montant
CHF]],""),"")</f>
        <v/>
      </c>
      <c r="R219" s="298" t="str">
        <f>IF(Tableau3384[[#This Row],[Date du paiement]]="",IF(Tableau3384[[#This Row],[jours jusqu''à l''écheance]]-($B$4-$B$11-1)&gt;0,Tableau3384[[#This Row],[Montant
CHF]],""),"")</f>
        <v/>
      </c>
      <c r="S219" s="142"/>
      <c r="T219" s="95" t="str">
        <f>IF(Tableau3384[[#This Row],[Paiements prevus]]="oui",Tableau3384[[#This Row],[Montant prevu à payer CH]],"")</f>
        <v/>
      </c>
      <c r="U219" s="129"/>
      <c r="V219" s="73"/>
      <c r="W219" s="68"/>
      <c r="X219" s="23">
        <v>45453</v>
      </c>
      <c r="Y219" s="7" t="s">
        <v>58</v>
      </c>
      <c r="Z219" s="120" t="str">
        <f>IF(Tableau3384[[#This Row],[Méthode du paiement]]="Mastercard","OUI","")</f>
        <v/>
      </c>
      <c r="AA219" s="6" t="s">
        <v>4</v>
      </c>
      <c r="AB219" s="6" t="s">
        <v>376</v>
      </c>
    </row>
    <row r="220" spans="1:28" hidden="1" x14ac:dyDescent="0.25">
      <c r="A220" s="9" t="s">
        <v>378</v>
      </c>
      <c r="B220" s="21">
        <v>45382</v>
      </c>
      <c r="C220" s="21">
        <v>45384</v>
      </c>
      <c r="D220" s="22" t="s">
        <v>101</v>
      </c>
      <c r="E220" s="11">
        <v>122.08</v>
      </c>
      <c r="F220" s="88">
        <v>8.1</v>
      </c>
      <c r="G220" s="80"/>
      <c r="H220" s="136">
        <f>Tableau3384[[#This Row],[Montant
CHF]]+Tableau3384[[#This Row],[Abzug/Spesen
CHF]]</f>
        <v>122.08</v>
      </c>
      <c r="I220" s="39"/>
      <c r="J220" s="40"/>
      <c r="K220" s="189"/>
      <c r="L220" s="298"/>
      <c r="M220" s="81"/>
      <c r="N220" s="21">
        <v>45412</v>
      </c>
      <c r="O220" s="282" t="str">
        <f>IF(Tableau3384[[#This Row],[Date du paiement]]&gt;0,"",Tableau3384[[#This Row],[Montant
CHF]])</f>
        <v/>
      </c>
      <c r="P220" s="276" t="str">
        <f>IF(Tableau3384[[#This Row],[Date du paiement]]="",$B$4-Tableau3384[[#This Row],[Écheance]],"")</f>
        <v/>
      </c>
      <c r="Q220" s="168" t="str">
        <f>IF(Tableau3384[[#This Row],[Date du paiement]]="",IF(Tableau3384[[#This Row],[jours jusqu''à l''écheance]]&gt;0,Tableau3384[[#This Row],[Montant
CHF]],""),"")</f>
        <v/>
      </c>
      <c r="R220" s="298" t="str">
        <f>IF(Tableau3384[[#This Row],[Date du paiement]]="",IF(Tableau3384[[#This Row],[jours jusqu''à l''écheance]]-($B$4-$B$11-1)&gt;0,Tableau3384[[#This Row],[Montant
CHF]],""),"")</f>
        <v/>
      </c>
      <c r="S220" s="142"/>
      <c r="T220" s="95" t="str">
        <f>IF(Tableau3384[[#This Row],[Paiements prevus]]="oui",Tableau3384[[#This Row],[Montant prevu à payer CH]],"")</f>
        <v/>
      </c>
      <c r="U220" s="129"/>
      <c r="V220" s="73"/>
      <c r="W220" s="68"/>
      <c r="X220" s="23">
        <v>45419</v>
      </c>
      <c r="Y220" s="7" t="s">
        <v>58</v>
      </c>
      <c r="Z220" s="120" t="str">
        <f>IF(Tableau3384[[#This Row],[Méthode du paiement]]="Mastercard","OUI","")</f>
        <v/>
      </c>
      <c r="AA220" s="6" t="s">
        <v>102</v>
      </c>
      <c r="AB220" s="6" t="s">
        <v>181</v>
      </c>
    </row>
    <row r="221" spans="1:28" hidden="1" x14ac:dyDescent="0.25">
      <c r="A221" s="9" t="s">
        <v>385</v>
      </c>
      <c r="B221" s="21">
        <v>45382</v>
      </c>
      <c r="C221" s="21">
        <v>45384</v>
      </c>
      <c r="D221" s="22" t="s">
        <v>120</v>
      </c>
      <c r="E221" s="11">
        <v>600</v>
      </c>
      <c r="F221" s="88">
        <v>0</v>
      </c>
      <c r="G221" s="80"/>
      <c r="H221" s="136">
        <f>Tableau3384[[#This Row],[Montant
CHF]]+Tableau3384[[#This Row],[Abzug/Spesen
CHF]]</f>
        <v>600</v>
      </c>
      <c r="I221" s="39"/>
      <c r="J221" s="40"/>
      <c r="K221" s="189"/>
      <c r="L221" s="298"/>
      <c r="M221" s="81"/>
      <c r="N221" s="21">
        <v>45412</v>
      </c>
      <c r="O221" s="282" t="str">
        <f>IF(Tableau3384[[#This Row],[Date du paiement]]&gt;0,"",Tableau3384[[#This Row],[Montant
CHF]])</f>
        <v/>
      </c>
      <c r="P221" s="276" t="str">
        <f>IF(Tableau3384[[#This Row],[Date du paiement]]="",$B$4-Tableau3384[[#This Row],[Écheance]],"")</f>
        <v/>
      </c>
      <c r="Q221" s="168" t="str">
        <f>IF(Tableau3384[[#This Row],[Date du paiement]]="",IF(Tableau3384[[#This Row],[jours jusqu''à l''écheance]]&gt;0,Tableau3384[[#This Row],[Montant
CHF]],""),"")</f>
        <v/>
      </c>
      <c r="R221" s="298" t="str">
        <f>IF(Tableau3384[[#This Row],[Date du paiement]]="",IF(Tableau3384[[#This Row],[jours jusqu''à l''écheance]]-($B$4-$B$11-1)&gt;0,Tableau3384[[#This Row],[Montant
CHF]],""),"")</f>
        <v/>
      </c>
      <c r="S221" s="142"/>
      <c r="T221" s="95" t="str">
        <f>IF(Tableau3384[[#This Row],[Paiements prevus]]="oui",Tableau3384[[#This Row],[Montant prevu à payer CH]],"")</f>
        <v/>
      </c>
      <c r="U221" s="129"/>
      <c r="V221" s="73"/>
      <c r="W221" s="68"/>
      <c r="X221" s="23">
        <v>45419</v>
      </c>
      <c r="Y221" s="7" t="s">
        <v>58</v>
      </c>
      <c r="Z221" s="120" t="str">
        <f>IF(Tableau3384[[#This Row],[Méthode du paiement]]="Mastercard","OUI","")</f>
        <v/>
      </c>
      <c r="AA221" s="6" t="s">
        <v>43</v>
      </c>
      <c r="AB221" s="6" t="s">
        <v>181</v>
      </c>
    </row>
    <row r="222" spans="1:28" hidden="1" x14ac:dyDescent="0.25">
      <c r="A222" s="9" t="s">
        <v>365</v>
      </c>
      <c r="B222" s="21">
        <v>45382</v>
      </c>
      <c r="C222" s="21">
        <v>45385</v>
      </c>
      <c r="D222" s="22" t="s">
        <v>108</v>
      </c>
      <c r="E222" s="11">
        <v>99.65</v>
      </c>
      <c r="F222" s="88">
        <v>0</v>
      </c>
      <c r="G222" s="80"/>
      <c r="H222" s="136">
        <f>Tableau3384[[#This Row],[Montant
CHF]]+Tableau3384[[#This Row],[Abzug/Spesen
CHF]]</f>
        <v>99.65</v>
      </c>
      <c r="I222" s="39"/>
      <c r="J222" s="40"/>
      <c r="K222" s="189"/>
      <c r="L222" s="298"/>
      <c r="M222" s="81"/>
      <c r="N222" s="21">
        <v>45392</v>
      </c>
      <c r="O222" s="282" t="str">
        <f>IF(Tableau3384[[#This Row],[Date du paiement]]&gt;0,"",Tableau3384[[#This Row],[Montant
CHF]])</f>
        <v/>
      </c>
      <c r="P222" s="276" t="str">
        <f>IF(Tableau3384[[#This Row],[Date du paiement]]="",$B$4-Tableau3384[[#This Row],[Écheance]],"")</f>
        <v/>
      </c>
      <c r="Q222" s="168" t="str">
        <f>IF(Tableau3384[[#This Row],[Date du paiement]]="",IF(Tableau3384[[#This Row],[jours jusqu''à l''écheance]]&gt;0,Tableau3384[[#This Row],[Montant
CHF]],""),"")</f>
        <v/>
      </c>
      <c r="R222" s="298" t="str">
        <f>IF(Tableau3384[[#This Row],[Date du paiement]]="",IF(Tableau3384[[#This Row],[jours jusqu''à l''écheance]]-($B$4-$B$11-1)&gt;0,Tableau3384[[#This Row],[Montant
CHF]],""),"")</f>
        <v/>
      </c>
      <c r="S222" s="142"/>
      <c r="T222" s="95" t="str">
        <f>IF(Tableau3384[[#This Row],[Paiements prevus]]="oui",Tableau3384[[#This Row],[Montant prevu à payer CH]],"")</f>
        <v/>
      </c>
      <c r="U222" s="129"/>
      <c r="V222" s="73"/>
      <c r="W222" s="68"/>
      <c r="X222" s="23">
        <v>45412</v>
      </c>
      <c r="Y222" s="7" t="s">
        <v>58</v>
      </c>
      <c r="Z222" s="120" t="str">
        <f>IF(Tableau3384[[#This Row],[Méthode du paiement]]="Mastercard","OUI","")</f>
        <v/>
      </c>
      <c r="AA222" s="6" t="s">
        <v>11</v>
      </c>
      <c r="AB222" s="6" t="s">
        <v>181</v>
      </c>
    </row>
    <row r="223" spans="1:28" hidden="1" x14ac:dyDescent="0.25">
      <c r="A223" s="9" t="s">
        <v>373</v>
      </c>
      <c r="B223" s="21">
        <v>45382</v>
      </c>
      <c r="C223" s="21">
        <v>45385</v>
      </c>
      <c r="D223" s="22" t="s">
        <v>74</v>
      </c>
      <c r="E223" s="11">
        <v>3446.25</v>
      </c>
      <c r="F223" s="88">
        <v>8.1</v>
      </c>
      <c r="G223" s="80"/>
      <c r="H223" s="136">
        <f>Tableau3384[[#This Row],[Montant
CHF]]+Tableau3384[[#This Row],[Abzug/Spesen
CHF]]</f>
        <v>3446.25</v>
      </c>
      <c r="I223" s="39"/>
      <c r="J223" s="40"/>
      <c r="K223" s="189"/>
      <c r="L223" s="298"/>
      <c r="M223" s="81"/>
      <c r="N223" s="21">
        <v>45412</v>
      </c>
      <c r="O223" s="282" t="str">
        <f>IF(Tableau3384[[#This Row],[Date du paiement]]&gt;0,"",Tableau3384[[#This Row],[Montant
CHF]])</f>
        <v/>
      </c>
      <c r="P223" s="276" t="str">
        <f>IF(Tableau3384[[#This Row],[Date du paiement]]="",$B$4-Tableau3384[[#This Row],[Écheance]],"")</f>
        <v/>
      </c>
      <c r="Q223" s="168" t="str">
        <f>IF(Tableau3384[[#This Row],[Date du paiement]]="",IF(Tableau3384[[#This Row],[jours jusqu''à l''écheance]]&gt;0,Tableau3384[[#This Row],[Montant
CHF]],""),"")</f>
        <v/>
      </c>
      <c r="R223" s="298" t="str">
        <f>IF(Tableau3384[[#This Row],[Date du paiement]]="",IF(Tableau3384[[#This Row],[jours jusqu''à l''écheance]]-($B$4-$B$11-1)&gt;0,Tableau3384[[#This Row],[Montant
CHF]],""),"")</f>
        <v/>
      </c>
      <c r="S223" s="142"/>
      <c r="T223" s="95" t="str">
        <f>IF(Tableau3384[[#This Row],[Paiements prevus]]="oui",Tableau3384[[#This Row],[Montant prevu à payer CH]],"")</f>
        <v/>
      </c>
      <c r="U223" s="129"/>
      <c r="V223" s="73"/>
      <c r="W223" s="68"/>
      <c r="X223" s="23">
        <v>45419</v>
      </c>
      <c r="Y223" s="7" t="s">
        <v>58</v>
      </c>
      <c r="Z223" s="120" t="str">
        <f>IF(Tableau3384[[#This Row],[Méthode du paiement]]="Mastercard","OUI","")</f>
        <v/>
      </c>
      <c r="AA223" s="6" t="s">
        <v>14</v>
      </c>
      <c r="AB223" s="6" t="s">
        <v>374</v>
      </c>
    </row>
    <row r="224" spans="1:28" hidden="1" x14ac:dyDescent="0.25">
      <c r="A224" s="9" t="s">
        <v>371</v>
      </c>
      <c r="B224" s="21">
        <v>45382</v>
      </c>
      <c r="C224" s="21">
        <v>45385</v>
      </c>
      <c r="D224" s="22" t="s">
        <v>94</v>
      </c>
      <c r="E224" s="11">
        <v>923.18</v>
      </c>
      <c r="F224" s="88">
        <v>8.1</v>
      </c>
      <c r="G224" s="80"/>
      <c r="H224" s="136">
        <f>Tableau3384[[#This Row],[Montant
CHF]]+Tableau3384[[#This Row],[Abzug/Spesen
CHF]]</f>
        <v>923.18</v>
      </c>
      <c r="I224" s="39"/>
      <c r="J224" s="40"/>
      <c r="K224" s="189"/>
      <c r="L224" s="298"/>
      <c r="M224" s="81"/>
      <c r="N224" s="21">
        <v>45412</v>
      </c>
      <c r="O224" s="282" t="str">
        <f>IF(Tableau3384[[#This Row],[Date du paiement]]&gt;0,"",Tableau3384[[#This Row],[Montant
CHF]])</f>
        <v/>
      </c>
      <c r="P224" s="276" t="str">
        <f>IF(Tableau3384[[#This Row],[Date du paiement]]="",$B$4-Tableau3384[[#This Row],[Écheance]],"")</f>
        <v/>
      </c>
      <c r="Q224" s="168" t="str">
        <f>IF(Tableau3384[[#This Row],[Date du paiement]]="",IF(Tableau3384[[#This Row],[jours jusqu''à l''écheance]]&gt;0,Tableau3384[[#This Row],[Montant
CHF]],""),"")</f>
        <v/>
      </c>
      <c r="R224" s="298" t="str">
        <f>IF(Tableau3384[[#This Row],[Date du paiement]]="",IF(Tableau3384[[#This Row],[jours jusqu''à l''écheance]]-($B$4-$B$11-1)&gt;0,Tableau3384[[#This Row],[Montant
CHF]],""),"")</f>
        <v/>
      </c>
      <c r="S224" s="142"/>
      <c r="T224" s="95" t="str">
        <f>IF(Tableau3384[[#This Row],[Paiements prevus]]="oui",Tableau3384[[#This Row],[Montant prevu à payer CH]],"")</f>
        <v/>
      </c>
      <c r="U224" s="129"/>
      <c r="V224" s="73"/>
      <c r="W224" s="68"/>
      <c r="X224" s="23">
        <v>45419</v>
      </c>
      <c r="Y224" s="7" t="s">
        <v>58</v>
      </c>
      <c r="Z224" s="120" t="str">
        <f>IF(Tableau3384[[#This Row],[Méthode du paiement]]="Mastercard","OUI","")</f>
        <v/>
      </c>
      <c r="AA224" s="6" t="s">
        <v>96</v>
      </c>
      <c r="AB224" s="6" t="s">
        <v>372</v>
      </c>
    </row>
    <row r="225" spans="1:35" hidden="1" x14ac:dyDescent="0.25">
      <c r="A225" s="9" t="s">
        <v>443</v>
      </c>
      <c r="B225" s="21">
        <v>45382</v>
      </c>
      <c r="C225" s="21">
        <v>45391</v>
      </c>
      <c r="D225" s="22" t="s">
        <v>162</v>
      </c>
      <c r="E225" s="11">
        <v>80.849999999999994</v>
      </c>
      <c r="F225" s="88">
        <v>8.1</v>
      </c>
      <c r="G225" s="80"/>
      <c r="H225" s="136">
        <f>Tableau3384[[#This Row],[Montant
CHF]]+Tableau3384[[#This Row],[Abzug/Spesen
CHF]]</f>
        <v>80.849999999999994</v>
      </c>
      <c r="I225" s="39"/>
      <c r="J225" s="40"/>
      <c r="K225" s="189"/>
      <c r="L225" s="298"/>
      <c r="M225" s="81"/>
      <c r="N225" s="21">
        <v>45412</v>
      </c>
      <c r="O225" s="282" t="str">
        <f>IF(Tableau3384[[#This Row],[Date du paiement]]&gt;0,"",Tableau3384[[#This Row],[Montant
CHF]])</f>
        <v/>
      </c>
      <c r="P225" s="276" t="str">
        <f>IF(Tableau3384[[#This Row],[Date du paiement]]="",$B$4-Tableau3384[[#This Row],[Écheance]],"")</f>
        <v/>
      </c>
      <c r="Q225" s="168" t="str">
        <f>IF(Tableau3384[[#This Row],[Date du paiement]]="",IF(Tableau3384[[#This Row],[jours jusqu''à l''écheance]]&gt;0,Tableau3384[[#This Row],[Montant
CHF]],""),"")</f>
        <v/>
      </c>
      <c r="R225" s="298" t="str">
        <f>IF(Tableau3384[[#This Row],[Date du paiement]]="",IF(Tableau3384[[#This Row],[jours jusqu''à l''écheance]]-($B$4-$B$11-1)&gt;0,Tableau3384[[#This Row],[Montant
CHF]],""),"")</f>
        <v/>
      </c>
      <c r="S225" s="142"/>
      <c r="T225" s="95" t="str">
        <f>IF(Tableau3384[[#This Row],[Paiements prevus]]="oui",Tableau3384[[#This Row],[Montant prevu à payer CH]],"")</f>
        <v/>
      </c>
      <c r="U225" s="176"/>
      <c r="V225" s="73"/>
      <c r="W225" s="68"/>
      <c r="X225" s="23">
        <v>45419</v>
      </c>
      <c r="Y225" s="7" t="s">
        <v>58</v>
      </c>
      <c r="Z225" s="120" t="str">
        <f>IF(Tableau3384[[#This Row],[Méthode du paiement]]="Mastercard","OUI","")</f>
        <v/>
      </c>
      <c r="AA225" s="6" t="s">
        <v>43</v>
      </c>
      <c r="AB225" s="6" t="s">
        <v>181</v>
      </c>
    </row>
    <row r="226" spans="1:35" hidden="1" x14ac:dyDescent="0.25">
      <c r="A226" s="9" t="s">
        <v>451</v>
      </c>
      <c r="B226" s="21">
        <v>45382</v>
      </c>
      <c r="C226" s="21">
        <v>45393</v>
      </c>
      <c r="D226" s="22" t="s">
        <v>452</v>
      </c>
      <c r="E226" s="11">
        <v>998.55</v>
      </c>
      <c r="F226" s="88">
        <v>8.1</v>
      </c>
      <c r="G226" s="80"/>
      <c r="H226" s="136">
        <f>Tableau3384[[#This Row],[Montant
CHF]]+Tableau3384[[#This Row],[Abzug/Spesen
CHF]]</f>
        <v>998.55</v>
      </c>
      <c r="I226" s="39"/>
      <c r="J226" s="40"/>
      <c r="K226" s="189"/>
      <c r="L226" s="298"/>
      <c r="M226" s="81"/>
      <c r="N226" s="21">
        <v>45412</v>
      </c>
      <c r="O226" s="282" t="str">
        <f>IF(Tableau3384[[#This Row],[Date du paiement]]&gt;0,"",Tableau3384[[#This Row],[Montant
CHF]])</f>
        <v/>
      </c>
      <c r="P226" s="276" t="str">
        <f>IF(Tableau3384[[#This Row],[Date du paiement]]="",$B$4-Tableau3384[[#This Row],[Écheance]],"")</f>
        <v/>
      </c>
      <c r="Q226" s="168" t="str">
        <f>IF(Tableau3384[[#This Row],[Date du paiement]]="",IF(Tableau3384[[#This Row],[jours jusqu''à l''écheance]]&gt;0,Tableau3384[[#This Row],[Montant
CHF]],""),"")</f>
        <v/>
      </c>
      <c r="R226" s="298" t="str">
        <f>IF(Tableau3384[[#This Row],[Date du paiement]]="",IF(Tableau3384[[#This Row],[jours jusqu''à l''écheance]]-($B$4-$B$11-1)&gt;0,Tableau3384[[#This Row],[Montant
CHF]],""),"")</f>
        <v/>
      </c>
      <c r="S226" s="142"/>
      <c r="T226" s="95" t="str">
        <f>IF(Tableau3384[[#This Row],[Paiements prevus]]="oui",Tableau3384[[#This Row],[Montant prevu à payer CH]],"")</f>
        <v/>
      </c>
      <c r="U226" s="129"/>
      <c r="V226" s="73"/>
      <c r="W226" s="68"/>
      <c r="X226" s="23">
        <v>45414</v>
      </c>
      <c r="Y226" s="7" t="s">
        <v>58</v>
      </c>
      <c r="Z226" s="120" t="str">
        <f>IF(Tableau3384[[#This Row],[Méthode du paiement]]="Mastercard","OUI","")</f>
        <v/>
      </c>
      <c r="AA226" s="6" t="s">
        <v>294</v>
      </c>
      <c r="AB226" s="6" t="s">
        <v>453</v>
      </c>
    </row>
    <row r="227" spans="1:35" hidden="1" x14ac:dyDescent="0.25">
      <c r="A227" s="182">
        <v>1245742</v>
      </c>
      <c r="B227" s="21">
        <v>45383</v>
      </c>
      <c r="C227" s="21">
        <v>45292</v>
      </c>
      <c r="D227" s="22" t="s">
        <v>2</v>
      </c>
      <c r="E227" s="11">
        <v>1523.55</v>
      </c>
      <c r="F227" s="88">
        <v>8.1</v>
      </c>
      <c r="G227" s="80"/>
      <c r="H227" s="136">
        <f>Tableau3384[[#This Row],[Montant
CHF]]+Tableau3384[[#This Row],[Abzug/Spesen
CHF]]</f>
        <v>1523.55</v>
      </c>
      <c r="I227" s="39"/>
      <c r="J227" s="40"/>
      <c r="K227" s="189"/>
      <c r="L227" s="298"/>
      <c r="M227" s="81"/>
      <c r="N227" s="21">
        <v>45383</v>
      </c>
      <c r="O227" s="282" t="str">
        <f>IF(Tableau3384[[#This Row],[Date du paiement]]&gt;0,"",Tableau3384[[#This Row],[Montant
CHF]])</f>
        <v/>
      </c>
      <c r="P227" s="276" t="str">
        <f>IF(Tableau3384[[#This Row],[Date du paiement]]="",$B$4-Tableau3384[[#This Row],[Écheance]],"")</f>
        <v/>
      </c>
      <c r="Q227" s="168" t="str">
        <f>IF(Tableau3384[[#This Row],[Date du paiement]]="",IF(Tableau3384[[#This Row],[jours jusqu''à l''écheance]]&gt;0,Tableau3384[[#This Row],[Montant
CHF]],""),"")</f>
        <v/>
      </c>
      <c r="R227" s="298" t="str">
        <f>IF(Tableau3384[[#This Row],[Date du paiement]]="",IF(Tableau3384[[#This Row],[jours jusqu''à l''écheance]]-($B$4-$B$11-1)&gt;0,Tableau3384[[#This Row],[Montant
CHF]],""),"")</f>
        <v/>
      </c>
      <c r="S227" s="142"/>
      <c r="T227" s="95" t="str">
        <f>IF(Tableau3384[[#This Row],[Paiements prevus]]="oui",Tableau3384[[#This Row],[Montant prevu à payer CH]],"")</f>
        <v/>
      </c>
      <c r="U227" s="129"/>
      <c r="V227" s="73"/>
      <c r="W227" s="68"/>
      <c r="X227" s="23">
        <v>45386</v>
      </c>
      <c r="Y227" s="7" t="s">
        <v>58</v>
      </c>
      <c r="Z227" s="120" t="str">
        <f>IF(Tableau3384[[#This Row],[Méthode du paiement]]="Mastercard","OUI","")</f>
        <v/>
      </c>
      <c r="AA227" s="180" t="s">
        <v>1162</v>
      </c>
      <c r="AB227" s="6" t="s">
        <v>195</v>
      </c>
    </row>
    <row r="228" spans="1:35" hidden="1" x14ac:dyDescent="0.25">
      <c r="A228" s="13" t="s">
        <v>632</v>
      </c>
      <c r="B228" s="21">
        <v>45383</v>
      </c>
      <c r="C228" s="21">
        <v>45292</v>
      </c>
      <c r="D228" s="22" t="s">
        <v>3</v>
      </c>
      <c r="E228" s="11">
        <v>3438</v>
      </c>
      <c r="F228" s="88">
        <v>0</v>
      </c>
      <c r="G228" s="80"/>
      <c r="H228" s="136">
        <f>Tableau3384[[#This Row],[Montant
CHF]]+Tableau3384[[#This Row],[Abzug/Spesen
CHF]]</f>
        <v>3438</v>
      </c>
      <c r="I228" s="39"/>
      <c r="J228" s="40"/>
      <c r="K228" s="189"/>
      <c r="L228" s="298"/>
      <c r="M228" s="81"/>
      <c r="N228" s="21">
        <v>45383</v>
      </c>
      <c r="O228" s="282" t="str">
        <f>IF(Tableau3384[[#This Row],[Date du paiement]]&gt;0,"",Tableau3384[[#This Row],[Montant
CHF]])</f>
        <v/>
      </c>
      <c r="P228" s="276" t="str">
        <f>IF(Tableau3384[[#This Row],[Date du paiement]]="",$B$4-Tableau3384[[#This Row],[Écheance]],"")</f>
        <v/>
      </c>
      <c r="Q228" s="168" t="str">
        <f>IF(Tableau3384[[#This Row],[Date du paiement]]="",IF(Tableau3384[[#This Row],[jours jusqu''à l''écheance]]&gt;0,Tableau3384[[#This Row],[Montant
CHF]],""),"")</f>
        <v/>
      </c>
      <c r="R228" s="298" t="str">
        <f>IF(Tableau3384[[#This Row],[Date du paiement]]="",IF(Tableau3384[[#This Row],[jours jusqu''à l''écheance]]-($B$4-$B$11-1)&gt;0,Tableau3384[[#This Row],[Montant
CHF]],""),"")</f>
        <v/>
      </c>
      <c r="S228" s="142"/>
      <c r="T228" s="95" t="str">
        <f>IF(Tableau3384[[#This Row],[Paiements prevus]]="oui",Tableau3384[[#This Row],[Montant prevu à payer CH]],"")</f>
        <v/>
      </c>
      <c r="U228" s="129"/>
      <c r="V228" s="73"/>
      <c r="W228" s="68"/>
      <c r="X228" s="23">
        <v>45391</v>
      </c>
      <c r="Y228" s="7" t="s">
        <v>58</v>
      </c>
      <c r="Z228" s="120" t="str">
        <f>IF(Tableau3384[[#This Row],[Méthode du paiement]]="Mastercard","OUI","")</f>
        <v/>
      </c>
      <c r="AA228" s="6" t="s">
        <v>6</v>
      </c>
      <c r="AB228" s="6" t="s">
        <v>195</v>
      </c>
      <c r="AC228" s="5"/>
      <c r="AD228" s="5"/>
      <c r="AE228" s="5"/>
      <c r="AF228" s="5"/>
      <c r="AG228" s="5"/>
      <c r="AH228" s="5"/>
      <c r="AI228" s="5"/>
    </row>
    <row r="229" spans="1:35" hidden="1" x14ac:dyDescent="0.25">
      <c r="A229" s="9">
        <v>214112</v>
      </c>
      <c r="B229" s="21">
        <v>45383</v>
      </c>
      <c r="C229" s="21">
        <v>45292</v>
      </c>
      <c r="D229" s="22" t="s">
        <v>7</v>
      </c>
      <c r="E229" s="11">
        <v>11531</v>
      </c>
      <c r="F229" s="88">
        <v>0</v>
      </c>
      <c r="G229" s="80"/>
      <c r="H229" s="136">
        <f>Tableau3384[[#This Row],[Montant
CHF]]+Tableau3384[[#This Row],[Abzug/Spesen
CHF]]</f>
        <v>11531</v>
      </c>
      <c r="I229" s="39"/>
      <c r="J229" s="40"/>
      <c r="K229" s="189"/>
      <c r="L229" s="298"/>
      <c r="M229" s="81"/>
      <c r="N229" s="21">
        <v>45383</v>
      </c>
      <c r="O229" s="282" t="str">
        <f>IF(Tableau3384[[#This Row],[Date du paiement]]&gt;0,"",Tableau3384[[#This Row],[Montant
CHF]])</f>
        <v/>
      </c>
      <c r="P229" s="276" t="str">
        <f>IF(Tableau3384[[#This Row],[Date du paiement]]="",$B$4-Tableau3384[[#This Row],[Écheance]],"")</f>
        <v/>
      </c>
      <c r="Q229" s="168" t="str">
        <f>IF(Tableau3384[[#This Row],[Date du paiement]]="",IF(Tableau3384[[#This Row],[jours jusqu''à l''écheance]]&gt;0,Tableau3384[[#This Row],[Montant
CHF]],""),"")</f>
        <v/>
      </c>
      <c r="R229" s="298" t="str">
        <f>IF(Tableau3384[[#This Row],[Date du paiement]]="",IF(Tableau3384[[#This Row],[jours jusqu''à l''écheance]]-($B$4-$B$11-1)&gt;0,Tableau3384[[#This Row],[Montant
CHF]],""),"")</f>
        <v/>
      </c>
      <c r="S229" s="142"/>
      <c r="T229" s="95" t="str">
        <f>IF(Tableau3384[[#This Row],[Paiements prevus]]="oui",Tableau3384[[#This Row],[Montant prevu à payer CH]],"")</f>
        <v/>
      </c>
      <c r="U229" s="129"/>
      <c r="V229" s="73"/>
      <c r="W229" s="68"/>
      <c r="X229" s="23">
        <v>45391</v>
      </c>
      <c r="Y229" s="7" t="s">
        <v>58</v>
      </c>
      <c r="Z229" s="120" t="str">
        <f>IF(Tableau3384[[#This Row],[Méthode du paiement]]="Mastercard","OUI","")</f>
        <v/>
      </c>
      <c r="AA229" s="6" t="s">
        <v>6</v>
      </c>
      <c r="AB229" s="6" t="s">
        <v>195</v>
      </c>
      <c r="AC229" s="5"/>
      <c r="AD229" s="5"/>
      <c r="AE229" s="5"/>
      <c r="AF229" s="5"/>
      <c r="AG229" s="5"/>
      <c r="AH229" s="5"/>
      <c r="AI229" s="5"/>
    </row>
    <row r="230" spans="1:35" hidden="1" x14ac:dyDescent="0.25">
      <c r="A230" s="9" t="s">
        <v>377</v>
      </c>
      <c r="B230" s="21">
        <v>45383</v>
      </c>
      <c r="C230" s="21">
        <v>45383</v>
      </c>
      <c r="D230" s="22" t="s">
        <v>46</v>
      </c>
      <c r="E230" s="11">
        <v>597.79</v>
      </c>
      <c r="F230" s="88">
        <v>8.1</v>
      </c>
      <c r="G230" s="80"/>
      <c r="H230" s="136">
        <f>Tableau3384[[#This Row],[Montant
CHF]]+Tableau3384[[#This Row],[Abzug/Spesen
CHF]]</f>
        <v>597.79</v>
      </c>
      <c r="I230" s="39"/>
      <c r="J230" s="40"/>
      <c r="K230" s="189"/>
      <c r="L230" s="298"/>
      <c r="M230" s="81"/>
      <c r="N230" s="21">
        <v>45413</v>
      </c>
      <c r="O230" s="282" t="str">
        <f>IF(Tableau3384[[#This Row],[Date du paiement]]&gt;0,"",Tableau3384[[#This Row],[Montant
CHF]])</f>
        <v/>
      </c>
      <c r="P230" s="276" t="str">
        <f>IF(Tableau3384[[#This Row],[Date du paiement]]="",$B$4-Tableau3384[[#This Row],[Écheance]],"")</f>
        <v/>
      </c>
      <c r="Q230" s="168" t="str">
        <f>IF(Tableau3384[[#This Row],[Date du paiement]]="",IF(Tableau3384[[#This Row],[jours jusqu''à l''écheance]]&gt;0,Tableau3384[[#This Row],[Montant
CHF]],""),"")</f>
        <v/>
      </c>
      <c r="R230" s="298" t="str">
        <f>IF(Tableau3384[[#This Row],[Date du paiement]]="",IF(Tableau3384[[#This Row],[jours jusqu''à l''écheance]]-($B$4-$B$11-1)&gt;0,Tableau3384[[#This Row],[Montant
CHF]],""),"")</f>
        <v/>
      </c>
      <c r="S230" s="142"/>
      <c r="T230" s="95" t="str">
        <f>IF(Tableau3384[[#This Row],[Paiements prevus]]="oui",Tableau3384[[#This Row],[Montant prevu à payer CH]],"")</f>
        <v/>
      </c>
      <c r="U230" s="129"/>
      <c r="V230" s="73"/>
      <c r="W230" s="68"/>
      <c r="X230" s="23">
        <v>45419</v>
      </c>
      <c r="Y230" s="7" t="s">
        <v>58</v>
      </c>
      <c r="Z230" s="120" t="str">
        <f>IF(Tableau3384[[#This Row],[Méthode du paiement]]="Mastercard","OUI","")</f>
        <v/>
      </c>
      <c r="AA230" s="6" t="s">
        <v>30</v>
      </c>
      <c r="AB230" s="6" t="s">
        <v>195</v>
      </c>
      <c r="AC230" s="5"/>
      <c r="AD230" s="5"/>
      <c r="AE230" s="5"/>
      <c r="AF230" s="5"/>
      <c r="AG230" s="5"/>
      <c r="AH230" s="5"/>
      <c r="AI230" s="5"/>
    </row>
    <row r="231" spans="1:35" hidden="1" x14ac:dyDescent="0.25">
      <c r="A231" s="9" t="s">
        <v>530</v>
      </c>
      <c r="B231" s="21">
        <v>45383</v>
      </c>
      <c r="C231" s="21">
        <v>45385</v>
      </c>
      <c r="D231" s="22" t="s">
        <v>13</v>
      </c>
      <c r="E231" s="11">
        <f>Tableau3384[[#This Row],[Montant
EUR]]*Tableau3384[[#This Row],[Taux 
de change]]</f>
        <v>15428.72520648</v>
      </c>
      <c r="F231" s="88">
        <v>0</v>
      </c>
      <c r="G231" s="80"/>
      <c r="H231" s="136">
        <f>Tableau3384[[#This Row],[Montant
CHF]]+Tableau3384[[#This Row],[Abzug/Spesen
CHF]]</f>
        <v>15428.72520648</v>
      </c>
      <c r="I231" s="39">
        <v>0.97413899999999998</v>
      </c>
      <c r="J231" s="40">
        <v>15838.32</v>
      </c>
      <c r="K231" s="189"/>
      <c r="L231" s="298"/>
      <c r="M231" s="81"/>
      <c r="N231" s="21">
        <v>45444</v>
      </c>
      <c r="O231" s="282" t="str">
        <f>IF(Tableau3384[[#This Row],[Date du paiement]]&gt;0,"",Tableau3384[[#This Row],[Montant
CHF]])</f>
        <v/>
      </c>
      <c r="P231" s="276" t="str">
        <f>IF(Tableau3384[[#This Row],[Date du paiement]]="",$B$4-Tableau3384[[#This Row],[Écheance]],"")</f>
        <v/>
      </c>
      <c r="Q231" s="168" t="str">
        <f>IF(Tableau3384[[#This Row],[Date du paiement]]="",IF(Tableau3384[[#This Row],[jours jusqu''à l''écheance]]&gt;0,Tableau3384[[#This Row],[Montant
CHF]],""),"")</f>
        <v/>
      </c>
      <c r="R231" s="298" t="str">
        <f>IF(Tableau3384[[#This Row],[Date du paiement]]="",IF(Tableau3384[[#This Row],[jours jusqu''à l''écheance]]-($B$4-$B$11-1)&gt;0,Tableau3384[[#This Row],[Montant
CHF]],""),"")</f>
        <v/>
      </c>
      <c r="S231" s="142"/>
      <c r="T231" s="95" t="str">
        <f>IF(Tableau3384[[#This Row],[Paiements prevus]]="oui",Tableau3384[[#This Row],[Montant prevu à payer CH]],"")</f>
        <v/>
      </c>
      <c r="U231" s="129"/>
      <c r="V231" s="73"/>
      <c r="W231" s="68"/>
      <c r="X231" s="23">
        <v>45449</v>
      </c>
      <c r="Y231" s="7" t="s">
        <v>58</v>
      </c>
      <c r="Z231" s="120" t="str">
        <f>IF(Tableau3384[[#This Row],[Méthode du paiement]]="Mastercard","OUI","")</f>
        <v/>
      </c>
      <c r="AA231" s="6" t="s">
        <v>14</v>
      </c>
      <c r="AB231" s="6" t="s">
        <v>359</v>
      </c>
      <c r="AC231" s="5"/>
      <c r="AD231" s="5"/>
      <c r="AE231" s="5"/>
      <c r="AF231" s="5"/>
      <c r="AG231" s="5"/>
      <c r="AH231" s="5"/>
      <c r="AI231" s="5"/>
    </row>
    <row r="232" spans="1:35" hidden="1" x14ac:dyDescent="0.25">
      <c r="A232" s="9" t="s">
        <v>428</v>
      </c>
      <c r="B232" s="21">
        <v>45383</v>
      </c>
      <c r="C232" s="21">
        <v>45387</v>
      </c>
      <c r="D232" s="22" t="s">
        <v>130</v>
      </c>
      <c r="E232" s="11">
        <v>70.25</v>
      </c>
      <c r="F232" s="88">
        <v>8.1</v>
      </c>
      <c r="G232" s="80"/>
      <c r="H232" s="136">
        <f>Tableau3384[[#This Row],[Montant
CHF]]+Tableau3384[[#This Row],[Abzug/Spesen
CHF]]</f>
        <v>70.25</v>
      </c>
      <c r="I232" s="39"/>
      <c r="J232" s="40"/>
      <c r="K232" s="189"/>
      <c r="L232" s="298"/>
      <c r="M232" s="81"/>
      <c r="N232" s="21">
        <v>45412</v>
      </c>
      <c r="O232" s="282" t="str">
        <f>IF(Tableau3384[[#This Row],[Date du paiement]]&gt;0,"",Tableau3384[[#This Row],[Montant
CHF]])</f>
        <v/>
      </c>
      <c r="P232" s="276" t="str">
        <f>IF(Tableau3384[[#This Row],[Date du paiement]]="",$B$4-Tableau3384[[#This Row],[Écheance]],"")</f>
        <v/>
      </c>
      <c r="Q232" s="168" t="str">
        <f>IF(Tableau3384[[#This Row],[Date du paiement]]="",IF(Tableau3384[[#This Row],[jours jusqu''à l''écheance]]&gt;0,Tableau3384[[#This Row],[Montant
CHF]],""),"")</f>
        <v/>
      </c>
      <c r="R232" s="298" t="str">
        <f>IF(Tableau3384[[#This Row],[Date du paiement]]="",IF(Tableau3384[[#This Row],[jours jusqu''à l''écheance]]-($B$4-$B$11-1)&gt;0,Tableau3384[[#This Row],[Montant
CHF]],""),"")</f>
        <v/>
      </c>
      <c r="S232" s="142"/>
      <c r="T232" s="95" t="str">
        <f>IF(Tableau3384[[#This Row],[Paiements prevus]]="oui",Tableau3384[[#This Row],[Montant prevu à payer CH]],"")</f>
        <v/>
      </c>
      <c r="U232" s="129"/>
      <c r="V232" s="73"/>
      <c r="W232" s="68"/>
      <c r="X232" s="23">
        <v>45419</v>
      </c>
      <c r="Y232" s="7" t="s">
        <v>58</v>
      </c>
      <c r="Z232" s="120" t="str">
        <f>IF(Tableau3384[[#This Row],[Méthode du paiement]]="Mastercard","OUI","")</f>
        <v/>
      </c>
      <c r="AA232" s="6" t="s">
        <v>30</v>
      </c>
      <c r="AB232" s="6" t="s">
        <v>181</v>
      </c>
    </row>
    <row r="233" spans="1:35" hidden="1" x14ac:dyDescent="0.25">
      <c r="A233" s="9" t="s">
        <v>583</v>
      </c>
      <c r="B233" s="21">
        <v>45383</v>
      </c>
      <c r="C233" s="21">
        <v>45433</v>
      </c>
      <c r="D233" s="22" t="s">
        <v>220</v>
      </c>
      <c r="E233" s="11">
        <v>28910.2</v>
      </c>
      <c r="F233" s="88">
        <v>8.1</v>
      </c>
      <c r="G233" s="80"/>
      <c r="H233" s="136">
        <f>Tableau3384[[#This Row],[Montant
CHF]]+Tableau3384[[#This Row],[Abzug/Spesen
CHF]]</f>
        <v>28910.2</v>
      </c>
      <c r="I233" s="39"/>
      <c r="J233" s="40"/>
      <c r="K233" s="189"/>
      <c r="L233" s="298"/>
      <c r="M233" s="81"/>
      <c r="N233" s="21">
        <v>45412</v>
      </c>
      <c r="O233" s="282" t="str">
        <f>IF(Tableau3384[[#This Row],[Date du paiement]]&gt;0,"",Tableau3384[[#This Row],[Montant
CHF]])</f>
        <v/>
      </c>
      <c r="P233" s="276" t="str">
        <f>IF(Tableau3384[[#This Row],[Date du paiement]]="",$B$4-Tableau3384[[#This Row],[Écheance]],"")</f>
        <v/>
      </c>
      <c r="Q233" s="168" t="str">
        <f>IF(Tableau3384[[#This Row],[Date du paiement]]="",IF(Tableau3384[[#This Row],[jours jusqu''à l''écheance]]&gt;0,Tableau3384[[#This Row],[Montant
CHF]],""),"")</f>
        <v/>
      </c>
      <c r="R233" s="298" t="str">
        <f>IF(Tableau3384[[#This Row],[Date du paiement]]="",IF(Tableau3384[[#This Row],[jours jusqu''à l''écheance]]-($B$4-$B$11-1)&gt;0,Tableau3384[[#This Row],[Montant
CHF]],""),"")</f>
        <v/>
      </c>
      <c r="S233" s="142"/>
      <c r="T233" s="95" t="str">
        <f>IF(Tableau3384[[#This Row],[Paiements prevus]]="oui",Tableau3384[[#This Row],[Montant prevu à payer CH]],"")</f>
        <v/>
      </c>
      <c r="U233" s="129"/>
      <c r="V233" s="73"/>
      <c r="W233" s="68"/>
      <c r="X233" s="23">
        <v>45433</v>
      </c>
      <c r="Y233" s="7" t="s">
        <v>345</v>
      </c>
      <c r="Z233" s="120" t="str">
        <f>IF(Tableau3384[[#This Row],[Méthode du paiement]]="Mastercard","OUI","")</f>
        <v/>
      </c>
      <c r="AA233" s="6" t="s">
        <v>221</v>
      </c>
      <c r="AB233" s="6" t="s">
        <v>181</v>
      </c>
    </row>
    <row r="234" spans="1:35" hidden="1" x14ac:dyDescent="0.25">
      <c r="A234" s="9" t="s">
        <v>425</v>
      </c>
      <c r="B234" s="21">
        <v>45384</v>
      </c>
      <c r="C234" s="21">
        <v>45384</v>
      </c>
      <c r="D234" s="22" t="s">
        <v>50</v>
      </c>
      <c r="E234" s="11">
        <v>1106.45</v>
      </c>
      <c r="F234" s="88">
        <v>8.1</v>
      </c>
      <c r="G234" s="80"/>
      <c r="H234" s="136">
        <f>Tableau3384[[#This Row],[Montant
CHF]]+Tableau3384[[#This Row],[Abzug/Spesen
CHF]]</f>
        <v>1106.45</v>
      </c>
      <c r="I234" s="39"/>
      <c r="J234" s="40"/>
      <c r="K234" s="189"/>
      <c r="L234" s="298"/>
      <c r="M234" s="81"/>
      <c r="N234" s="21">
        <v>45412</v>
      </c>
      <c r="O234" s="282" t="str">
        <f>IF(Tableau3384[[#This Row],[Date du paiement]]&gt;0,"",Tableau3384[[#This Row],[Montant
CHF]])</f>
        <v/>
      </c>
      <c r="P234" s="276" t="str">
        <f>IF(Tableau3384[[#This Row],[Date du paiement]]="",$B$4-Tableau3384[[#This Row],[Écheance]],"")</f>
        <v/>
      </c>
      <c r="Q234" s="168" t="str">
        <f>IF(Tableau3384[[#This Row],[Date du paiement]]="",IF(Tableau3384[[#This Row],[jours jusqu''à l''écheance]]&gt;0,Tableau3384[[#This Row],[Montant
CHF]],""),"")</f>
        <v/>
      </c>
      <c r="R234" s="298" t="str">
        <f>IF(Tableau3384[[#This Row],[Date du paiement]]="",IF(Tableau3384[[#This Row],[jours jusqu''à l''écheance]]-($B$4-$B$11-1)&gt;0,Tableau3384[[#This Row],[Montant
CHF]],""),"")</f>
        <v/>
      </c>
      <c r="S234" s="142"/>
      <c r="T234" s="95" t="str">
        <f>IF(Tableau3384[[#This Row],[Paiements prevus]]="oui",Tableau3384[[#This Row],[Montant prevu à payer CH]],"")</f>
        <v/>
      </c>
      <c r="U234" s="129"/>
      <c r="V234" s="73"/>
      <c r="W234" s="68"/>
      <c r="X234" s="23">
        <v>45419</v>
      </c>
      <c r="Y234" s="7" t="s">
        <v>58</v>
      </c>
      <c r="Z234" s="120" t="str">
        <f>IF(Tableau3384[[#This Row],[Méthode du paiement]]="Mastercard","OUI","")</f>
        <v/>
      </c>
      <c r="AA234" s="18" t="s">
        <v>1431</v>
      </c>
      <c r="AB234" s="6" t="s">
        <v>181</v>
      </c>
    </row>
    <row r="235" spans="1:35" hidden="1" x14ac:dyDescent="0.25">
      <c r="A235" s="9" t="s">
        <v>394</v>
      </c>
      <c r="B235" s="21">
        <v>45384</v>
      </c>
      <c r="C235" s="21">
        <v>45384</v>
      </c>
      <c r="D235" s="22" t="s">
        <v>395</v>
      </c>
      <c r="E235" s="11">
        <v>200</v>
      </c>
      <c r="F235" s="88">
        <v>2.6</v>
      </c>
      <c r="G235" s="80"/>
      <c r="H235" s="136">
        <f>Tableau3384[[#This Row],[Montant
CHF]]+Tableau3384[[#This Row],[Abzug/Spesen
CHF]]</f>
        <v>200</v>
      </c>
      <c r="I235" s="39"/>
      <c r="J235" s="40"/>
      <c r="K235" s="189"/>
      <c r="L235" s="298"/>
      <c r="M235" s="81"/>
      <c r="N235" s="21">
        <v>45414</v>
      </c>
      <c r="O235" s="282" t="str">
        <f>IF(Tableau3384[[#This Row],[Date du paiement]]&gt;0,"",Tableau3384[[#This Row],[Montant
CHF]])</f>
        <v/>
      </c>
      <c r="P235" s="276" t="str">
        <f>IF(Tableau3384[[#This Row],[Date du paiement]]="",$B$4-Tableau3384[[#This Row],[Écheance]],"")</f>
        <v/>
      </c>
      <c r="Q235" s="168" t="str">
        <f>IF(Tableau3384[[#This Row],[Date du paiement]]="",IF(Tableau3384[[#This Row],[jours jusqu''à l''écheance]]&gt;0,Tableau3384[[#This Row],[Montant
CHF]],""),"")</f>
        <v/>
      </c>
      <c r="R235" s="298" t="str">
        <f>IF(Tableau3384[[#This Row],[Date du paiement]]="",IF(Tableau3384[[#This Row],[jours jusqu''à l''écheance]]-($B$4-$B$11-1)&gt;0,Tableau3384[[#This Row],[Montant
CHF]],""),"")</f>
        <v/>
      </c>
      <c r="S235" s="142"/>
      <c r="T235" s="95" t="str">
        <f>IF(Tableau3384[[#This Row],[Paiements prevus]]="oui",Tableau3384[[#This Row],[Montant prevu à payer CH]],"")</f>
        <v/>
      </c>
      <c r="U235" s="129"/>
      <c r="V235" s="73"/>
      <c r="W235" s="68"/>
      <c r="X235" s="23">
        <v>45419</v>
      </c>
      <c r="Y235" s="7" t="s">
        <v>58</v>
      </c>
      <c r="Z235" s="120" t="str">
        <f>IF(Tableau3384[[#This Row],[Méthode du paiement]]="Mastercard","OUI","")</f>
        <v/>
      </c>
      <c r="AA235" s="6" t="s">
        <v>14</v>
      </c>
      <c r="AB235" s="6" t="s">
        <v>102</v>
      </c>
    </row>
    <row r="236" spans="1:35" hidden="1" x14ac:dyDescent="0.25">
      <c r="A236" s="9" t="s">
        <v>438</v>
      </c>
      <c r="B236" s="21">
        <v>45384</v>
      </c>
      <c r="C236" s="21">
        <v>45391</v>
      </c>
      <c r="D236" s="22" t="s">
        <v>439</v>
      </c>
      <c r="E236" s="11">
        <v>430.2</v>
      </c>
      <c r="F236" s="88">
        <v>8.1</v>
      </c>
      <c r="G236" s="80"/>
      <c r="H236" s="136">
        <f>Tableau3384[[#This Row],[Montant
CHF]]+Tableau3384[[#This Row],[Abzug/Spesen
CHF]]</f>
        <v>430.2</v>
      </c>
      <c r="I236" s="39"/>
      <c r="J236" s="40"/>
      <c r="K236" s="189"/>
      <c r="L236" s="298"/>
      <c r="M236" s="81" t="s">
        <v>571</v>
      </c>
      <c r="N236" s="21">
        <v>45384</v>
      </c>
      <c r="O236" s="282" t="str">
        <f>IF(Tableau3384[[#This Row],[Date du paiement]]&gt;0,"",Tableau3384[[#This Row],[Montant
CHF]])</f>
        <v/>
      </c>
      <c r="P236" s="276" t="str">
        <f>IF(Tableau3384[[#This Row],[Date du paiement]]="",$B$4-Tableau3384[[#This Row],[Écheance]],"")</f>
        <v/>
      </c>
      <c r="Q236" s="168" t="str">
        <f>IF(Tableau3384[[#This Row],[Date du paiement]]="",IF(Tableau3384[[#This Row],[jours jusqu''à l''écheance]]&gt;0,Tableau3384[[#This Row],[Montant
CHF]],""),"")</f>
        <v/>
      </c>
      <c r="R236" s="298" t="str">
        <f>IF(Tableau3384[[#This Row],[Date du paiement]]="",IF(Tableau3384[[#This Row],[jours jusqu''à l''écheance]]-($B$4-$B$11-1)&gt;0,Tableau3384[[#This Row],[Montant
CHF]],""),"")</f>
        <v/>
      </c>
      <c r="S236" s="142"/>
      <c r="T236" s="95" t="str">
        <f>IF(Tableau3384[[#This Row],[Paiements prevus]]="oui",Tableau3384[[#This Row],[Montant prevu à payer CH]],"")</f>
        <v/>
      </c>
      <c r="U236" s="129"/>
      <c r="V236" s="73"/>
      <c r="W236" s="68"/>
      <c r="X236" s="23">
        <v>45427</v>
      </c>
      <c r="Y236" s="7" t="s">
        <v>58</v>
      </c>
      <c r="Z236" s="120" t="str">
        <f>IF(Tableau3384[[#This Row],[Méthode du paiement]]="Mastercard","OUI","")</f>
        <v/>
      </c>
      <c r="AA236" s="6" t="s">
        <v>14</v>
      </c>
      <c r="AB236" s="6" t="s">
        <v>440</v>
      </c>
    </row>
    <row r="237" spans="1:35" hidden="1" x14ac:dyDescent="0.25">
      <c r="A237" s="9" t="s">
        <v>467</v>
      </c>
      <c r="B237" s="21">
        <v>45384</v>
      </c>
      <c r="C237" s="21">
        <v>45391</v>
      </c>
      <c r="D237" s="22" t="s">
        <v>439</v>
      </c>
      <c r="E237" s="11">
        <v>1601.85</v>
      </c>
      <c r="F237" s="88">
        <v>8.1</v>
      </c>
      <c r="G237" s="80"/>
      <c r="H237" s="136">
        <f>Tableau3384[[#This Row],[Montant
CHF]]+Tableau3384[[#This Row],[Abzug/Spesen
CHF]]</f>
        <v>1601.85</v>
      </c>
      <c r="I237" s="39"/>
      <c r="J237" s="40"/>
      <c r="K237" s="189"/>
      <c r="L237" s="298"/>
      <c r="M237" s="81" t="s">
        <v>571</v>
      </c>
      <c r="N237" s="21">
        <v>45384</v>
      </c>
      <c r="O237" s="282" t="str">
        <f>IF(Tableau3384[[#This Row],[Date du paiement]]&gt;0,"",Tableau3384[[#This Row],[Montant
CHF]])</f>
        <v/>
      </c>
      <c r="P237" s="276" t="str">
        <f>IF(Tableau3384[[#This Row],[Date du paiement]]="",$B$4-Tableau3384[[#This Row],[Écheance]],"")</f>
        <v/>
      </c>
      <c r="Q237" s="168" t="str">
        <f>IF(Tableau3384[[#This Row],[Date du paiement]]="",IF(Tableau3384[[#This Row],[jours jusqu''à l''écheance]]&gt;0,Tableau3384[[#This Row],[Montant
CHF]],""),"")</f>
        <v/>
      </c>
      <c r="R237" s="298" t="str">
        <f>IF(Tableau3384[[#This Row],[Date du paiement]]="",IF(Tableau3384[[#This Row],[jours jusqu''à l''écheance]]-($B$4-$B$11-1)&gt;0,Tableau3384[[#This Row],[Montant
CHF]],""),"")</f>
        <v/>
      </c>
      <c r="S237" s="142"/>
      <c r="T237" s="95" t="str">
        <f>IF(Tableau3384[[#This Row],[Paiements prevus]]="oui",Tableau3384[[#This Row],[Montant prevu à payer CH]],"")</f>
        <v/>
      </c>
      <c r="U237" s="176"/>
      <c r="V237" s="73"/>
      <c r="W237" s="68"/>
      <c r="X237" s="23">
        <v>45427</v>
      </c>
      <c r="Y237" s="7" t="s">
        <v>58</v>
      </c>
      <c r="Z237" s="120" t="str">
        <f>IF(Tableau3384[[#This Row],[Méthode du paiement]]="Mastercard","OUI","")</f>
        <v/>
      </c>
      <c r="AA237" s="6" t="s">
        <v>14</v>
      </c>
      <c r="AB237" s="6" t="s">
        <v>572</v>
      </c>
    </row>
    <row r="238" spans="1:35" hidden="1" x14ac:dyDescent="0.25">
      <c r="A238" s="182" t="s">
        <v>361</v>
      </c>
      <c r="B238" s="21">
        <v>45385</v>
      </c>
      <c r="C238" s="21">
        <v>45385</v>
      </c>
      <c r="D238" s="22" t="s">
        <v>362</v>
      </c>
      <c r="E238" s="11">
        <v>4651.55</v>
      </c>
      <c r="F238" s="88">
        <v>8.1</v>
      </c>
      <c r="G238" s="80"/>
      <c r="H238" s="136">
        <f>Tableau3384[[#This Row],[Montant
CHF]]+Tableau3384[[#This Row],[Abzug/Spesen
CHF]]</f>
        <v>4651.55</v>
      </c>
      <c r="I238" s="39"/>
      <c r="J238" s="40"/>
      <c r="K238" s="189"/>
      <c r="L238" s="298"/>
      <c r="M238" s="81" t="s">
        <v>364</v>
      </c>
      <c r="N238" s="21">
        <v>45415</v>
      </c>
      <c r="O238" s="282" t="str">
        <f>IF(Tableau3384[[#This Row],[Date du paiement]]&gt;0,"",Tableau3384[[#This Row],[Montant
CHF]])</f>
        <v/>
      </c>
      <c r="P238" s="276" t="str">
        <f>IF(Tableau3384[[#This Row],[Date du paiement]]="",$B$4-Tableau3384[[#This Row],[Écheance]],"")</f>
        <v/>
      </c>
      <c r="Q238" s="168" t="str">
        <f>IF(Tableau3384[[#This Row],[Date du paiement]]="",IF(Tableau3384[[#This Row],[jours jusqu''à l''écheance]]&gt;0,Tableau3384[[#This Row],[Montant
CHF]],""),"")</f>
        <v/>
      </c>
      <c r="R238" s="298" t="str">
        <f>IF(Tableau3384[[#This Row],[Date du paiement]]="",IF(Tableau3384[[#This Row],[jours jusqu''à l''écheance]]-($B$4-$B$11-1)&gt;0,Tableau3384[[#This Row],[Montant
CHF]],""),"")</f>
        <v/>
      </c>
      <c r="S238" s="142"/>
      <c r="T238" s="95" t="str">
        <f>IF(Tableau3384[[#This Row],[Paiements prevus]]="oui",Tableau3384[[#This Row],[Montant prevu à payer CH]],"")</f>
        <v/>
      </c>
      <c r="U238" s="176"/>
      <c r="V238" s="73"/>
      <c r="W238" s="68"/>
      <c r="X238" s="23">
        <v>45415</v>
      </c>
      <c r="Y238" s="7" t="s">
        <v>58</v>
      </c>
      <c r="Z238" s="120" t="str">
        <f>IF(Tableau3384[[#This Row],[Méthode du paiement]]="Mastercard","OUI","")</f>
        <v/>
      </c>
      <c r="AA238" s="180" t="s">
        <v>4</v>
      </c>
      <c r="AB238" s="180" t="s">
        <v>363</v>
      </c>
    </row>
    <row r="239" spans="1:35" hidden="1" x14ac:dyDescent="0.25">
      <c r="A239" s="9" t="s">
        <v>366</v>
      </c>
      <c r="B239" s="21">
        <v>45385</v>
      </c>
      <c r="C239" s="21">
        <v>45385</v>
      </c>
      <c r="D239" s="22" t="s">
        <v>25</v>
      </c>
      <c r="E239" s="11">
        <v>40</v>
      </c>
      <c r="F239" s="88">
        <v>0</v>
      </c>
      <c r="G239" s="80"/>
      <c r="H239" s="136">
        <f>Tableau3384[[#This Row],[Montant
CHF]]+Tableau3384[[#This Row],[Abzug/Spesen
CHF]]</f>
        <v>40</v>
      </c>
      <c r="I239" s="39"/>
      <c r="J239" s="40"/>
      <c r="K239" s="189"/>
      <c r="L239" s="298"/>
      <c r="M239" s="81"/>
      <c r="N239" s="21">
        <v>45405</v>
      </c>
      <c r="O239" s="282" t="str">
        <f>IF(Tableau3384[[#This Row],[Date du paiement]]&gt;0,"",Tableau3384[[#This Row],[Montant
CHF]])</f>
        <v/>
      </c>
      <c r="P239" s="276" t="str">
        <f>IF(Tableau3384[[#This Row],[Date du paiement]]="",$B$4-Tableau3384[[#This Row],[Écheance]],"")</f>
        <v/>
      </c>
      <c r="Q239" s="168" t="str">
        <f>IF(Tableau3384[[#This Row],[Date du paiement]]="",IF(Tableau3384[[#This Row],[jours jusqu''à l''écheance]]&gt;0,Tableau3384[[#This Row],[Montant
CHF]],""),"")</f>
        <v/>
      </c>
      <c r="R239" s="298" t="str">
        <f>IF(Tableau3384[[#This Row],[Date du paiement]]="",IF(Tableau3384[[#This Row],[jours jusqu''à l''écheance]]-($B$4-$B$11-1)&gt;0,Tableau3384[[#This Row],[Montant
CHF]],""),"")</f>
        <v/>
      </c>
      <c r="S239" s="142"/>
      <c r="T239" s="95" t="str">
        <f>IF(Tableau3384[[#This Row],[Paiements prevus]]="oui",Tableau3384[[#This Row],[Montant prevu à payer CH]],"")</f>
        <v/>
      </c>
      <c r="U239" s="176"/>
      <c r="V239" s="73"/>
      <c r="W239" s="68"/>
      <c r="X239" s="23">
        <v>45419</v>
      </c>
      <c r="Y239" s="7" t="s">
        <v>58</v>
      </c>
      <c r="Z239" s="120" t="str">
        <f>IF(Tableau3384[[#This Row],[Méthode du paiement]]="Mastercard","OUI","")</f>
        <v/>
      </c>
      <c r="AA239" s="6" t="s">
        <v>26</v>
      </c>
      <c r="AB239" s="6" t="s">
        <v>367</v>
      </c>
    </row>
    <row r="240" spans="1:35" hidden="1" x14ac:dyDescent="0.25">
      <c r="A240" s="9" t="s">
        <v>402</v>
      </c>
      <c r="B240" s="21">
        <v>45385</v>
      </c>
      <c r="C240" s="21">
        <v>45386</v>
      </c>
      <c r="D240" s="22" t="s">
        <v>117</v>
      </c>
      <c r="E240" s="11">
        <f>Tableau3384[[#This Row],[Montant
EUR]]*Tableau3384[[#This Row],[Taux 
de change]]</f>
        <v>21340.1466</v>
      </c>
      <c r="F240" s="88">
        <v>0</v>
      </c>
      <c r="G240" s="80"/>
      <c r="H240" s="136">
        <f>Tableau3384[[#This Row],[Montant
CHF]]+Tableau3384[[#This Row],[Abzug/Spesen
CHF]]</f>
        <v>21340.1466</v>
      </c>
      <c r="I240" s="39">
        <v>0.97940000000000005</v>
      </c>
      <c r="J240" s="40">
        <v>21789</v>
      </c>
      <c r="K240" s="189"/>
      <c r="L240" s="298"/>
      <c r="M240" s="81"/>
      <c r="N240" s="21">
        <v>45415</v>
      </c>
      <c r="O240" s="282" t="str">
        <f>IF(Tableau3384[[#This Row],[Date du paiement]]&gt;0,"",Tableau3384[[#This Row],[Montant
CHF]])</f>
        <v/>
      </c>
      <c r="P240" s="276" t="str">
        <f>IF(Tableau3384[[#This Row],[Date du paiement]]="",$B$4-Tableau3384[[#This Row],[Écheance]],"")</f>
        <v/>
      </c>
      <c r="Q240" s="168" t="str">
        <f>IF(Tableau3384[[#This Row],[Date du paiement]]="",IF(Tableau3384[[#This Row],[jours jusqu''à l''écheance]]&gt;0,Tableau3384[[#This Row],[Montant
CHF]],""),"")</f>
        <v/>
      </c>
      <c r="R240" s="298" t="str">
        <f>IF(Tableau3384[[#This Row],[Date du paiement]]="",IF(Tableau3384[[#This Row],[jours jusqu''à l''écheance]]-($B$4-$B$11-1)&gt;0,Tableau3384[[#This Row],[Montant
CHF]],""),"")</f>
        <v/>
      </c>
      <c r="S240" s="142"/>
      <c r="T240" s="95" t="str">
        <f>IF(Tableau3384[[#This Row],[Paiements prevus]]="oui",Tableau3384[[#This Row],[Montant prevu à payer CH]],"")</f>
        <v/>
      </c>
      <c r="U240" s="129"/>
      <c r="V240" s="73"/>
      <c r="W240" s="68"/>
      <c r="X240" s="23">
        <v>45419</v>
      </c>
      <c r="Y240" s="7" t="s">
        <v>58</v>
      </c>
      <c r="Z240" s="120" t="str">
        <f>IF(Tableau3384[[#This Row],[Méthode du paiement]]="Mastercard","OUI","")</f>
        <v/>
      </c>
      <c r="AA240" s="6" t="s">
        <v>14</v>
      </c>
      <c r="AB240" s="6" t="s">
        <v>404</v>
      </c>
    </row>
    <row r="241" spans="1:28" hidden="1" x14ac:dyDescent="0.25">
      <c r="A241" s="9" t="s">
        <v>403</v>
      </c>
      <c r="B241" s="21">
        <v>45385</v>
      </c>
      <c r="C241" s="21">
        <v>45386</v>
      </c>
      <c r="D241" s="22" t="s">
        <v>117</v>
      </c>
      <c r="E241" s="11">
        <f>Tableau3384[[#This Row],[Montant
EUR]]*Tableau3384[[#This Row],[Taux 
de change]]</f>
        <v>3036.76</v>
      </c>
      <c r="F241" s="88">
        <v>0</v>
      </c>
      <c r="G241" s="80"/>
      <c r="H241" s="136">
        <f>Tableau3384[[#This Row],[Montant
CHF]]+Tableau3384[[#This Row],[Abzug/Spesen
CHF]]</f>
        <v>3036.76</v>
      </c>
      <c r="I241" s="39">
        <v>0.97960000000000003</v>
      </c>
      <c r="J241" s="40">
        <v>3100</v>
      </c>
      <c r="K241" s="189"/>
      <c r="L241" s="298"/>
      <c r="M241" s="81"/>
      <c r="N241" s="21">
        <v>45415</v>
      </c>
      <c r="O241" s="282" t="str">
        <f>IF(Tableau3384[[#This Row],[Date du paiement]]&gt;0,"",Tableau3384[[#This Row],[Montant
CHF]])</f>
        <v/>
      </c>
      <c r="P241" s="276" t="str">
        <f>IF(Tableau3384[[#This Row],[Date du paiement]]="",$B$4-Tableau3384[[#This Row],[Écheance]],"")</f>
        <v/>
      </c>
      <c r="Q241" s="168" t="str">
        <f>IF(Tableau3384[[#This Row],[Date du paiement]]="",IF(Tableau3384[[#This Row],[jours jusqu''à l''écheance]]&gt;0,Tableau3384[[#This Row],[Montant
CHF]],""),"")</f>
        <v/>
      </c>
      <c r="R241" s="298" t="str">
        <f>IF(Tableau3384[[#This Row],[Date du paiement]]="",IF(Tableau3384[[#This Row],[jours jusqu''à l''écheance]]-($B$4-$B$11-1)&gt;0,Tableau3384[[#This Row],[Montant
CHF]],""),"")</f>
        <v/>
      </c>
      <c r="S241" s="142"/>
      <c r="T241" s="95" t="str">
        <f>IF(Tableau3384[[#This Row],[Paiements prevus]]="oui",Tableau3384[[#This Row],[Montant prevu à payer CH]],"")</f>
        <v/>
      </c>
      <c r="U241" s="129"/>
      <c r="V241" s="73"/>
      <c r="W241" s="68"/>
      <c r="X241" s="23">
        <v>45419</v>
      </c>
      <c r="Y241" s="7" t="s">
        <v>58</v>
      </c>
      <c r="Z241" s="120" t="str">
        <f>IF(Tableau3384[[#This Row],[Méthode du paiement]]="Mastercard","OUI","")</f>
        <v/>
      </c>
      <c r="AA241" s="6" t="s">
        <v>11</v>
      </c>
      <c r="AB241" s="6" t="s">
        <v>404</v>
      </c>
    </row>
    <row r="242" spans="1:28" hidden="1" x14ac:dyDescent="0.25">
      <c r="A242" s="9" t="s">
        <v>586</v>
      </c>
      <c r="B242" s="21">
        <v>45385</v>
      </c>
      <c r="C242" s="21">
        <v>45435</v>
      </c>
      <c r="D242" s="22" t="s">
        <v>48</v>
      </c>
      <c r="E242" s="183">
        <v>72.150000000000006</v>
      </c>
      <c r="F242" s="88">
        <v>8.1</v>
      </c>
      <c r="G242" s="80"/>
      <c r="H242" s="136">
        <f>Tableau3384[[#This Row],[Montant
CHF]]+Tableau3384[[#This Row],[Abzug/Spesen
CHF]]</f>
        <v>72.150000000000006</v>
      </c>
      <c r="I242" s="39"/>
      <c r="J242" s="40"/>
      <c r="K242" s="189"/>
      <c r="L242" s="298"/>
      <c r="M242" s="81"/>
      <c r="N242" s="21">
        <v>45405</v>
      </c>
      <c r="O242" s="282" t="str">
        <f>IF(Tableau3384[[#This Row],[Date du paiement]]&gt;0,"",Tableau3384[[#This Row],[Montant
CHF]])</f>
        <v/>
      </c>
      <c r="P242" s="276" t="str">
        <f>IF(Tableau3384[[#This Row],[Date du paiement]]="",$B$4-Tableau3384[[#This Row],[Écheance]],"")</f>
        <v/>
      </c>
      <c r="Q242" s="168" t="str">
        <f>IF(Tableau3384[[#This Row],[Date du paiement]]="",IF(Tableau3384[[#This Row],[jours jusqu''à l''écheance]]&gt;0,Tableau3384[[#This Row],[Montant
CHF]],""),"")</f>
        <v/>
      </c>
      <c r="R242" s="298" t="str">
        <f>IF(Tableau3384[[#This Row],[Date du paiement]]="",IF(Tableau3384[[#This Row],[jours jusqu''à l''écheance]]-($B$4-$B$11-1)&gt;0,Tableau3384[[#This Row],[Montant
CHF]],""),"")</f>
        <v/>
      </c>
      <c r="S242" s="142"/>
      <c r="T242" s="95" t="str">
        <f>IF(Tableau3384[[#This Row],[Paiements prevus]]="oui",Tableau3384[[#This Row],[Montant prevu à payer CH]],"")</f>
        <v/>
      </c>
      <c r="U242" s="129"/>
      <c r="V242" s="73"/>
      <c r="W242" s="190"/>
      <c r="X242" s="23">
        <v>45441</v>
      </c>
      <c r="Y242" s="7" t="s">
        <v>58</v>
      </c>
      <c r="Z242" s="120" t="str">
        <f>IF(Tableau3384[[#This Row],[Méthode du paiement]]="Mastercard","OUI","")</f>
        <v/>
      </c>
      <c r="AA242" s="6" t="s">
        <v>39</v>
      </c>
      <c r="AB242" s="6" t="s">
        <v>181</v>
      </c>
    </row>
    <row r="243" spans="1:28" hidden="1" x14ac:dyDescent="0.25">
      <c r="A243" s="156" t="s">
        <v>129</v>
      </c>
      <c r="B243" s="26">
        <v>45386</v>
      </c>
      <c r="C243" s="26">
        <v>45386</v>
      </c>
      <c r="D243" s="157" t="s">
        <v>87</v>
      </c>
      <c r="E243" s="11">
        <v>2579.1</v>
      </c>
      <c r="F243" s="165">
        <v>0</v>
      </c>
      <c r="G243" s="82"/>
      <c r="H243" s="137">
        <f>Tableau3384[[#This Row],[Montant
CHF]]+Tableau3384[[#This Row],[Abzug/Spesen
CHF]]</f>
        <v>2579.1</v>
      </c>
      <c r="I243" s="41"/>
      <c r="J243" s="42"/>
      <c r="K243" s="42"/>
      <c r="L243" s="357"/>
      <c r="M243" s="83"/>
      <c r="N243" s="21">
        <v>45383</v>
      </c>
      <c r="O243" s="286" t="str">
        <f>IF(Tableau3384[[#This Row],[Date du paiement]]&gt;0,"",Tableau3384[[#This Row],[Montant
CHF]])</f>
        <v/>
      </c>
      <c r="P243" s="276" t="str">
        <f>IF(Tableau3384[[#This Row],[Date du paiement]]="",$B$4-Tableau3384[[#This Row],[Écheance]],"")</f>
        <v/>
      </c>
      <c r="Q243" s="168" t="str">
        <f>IF(Tableau3384[[#This Row],[Date du paiement]]="",IF(Tableau3384[[#This Row],[jours jusqu''à l''écheance]]&gt;0,Tableau3384[[#This Row],[Montant
CHF]],""),"")</f>
        <v/>
      </c>
      <c r="R243" s="298" t="str">
        <f>IF(Tableau3384[[#This Row],[Date du paiement]]="",IF(Tableau3384[[#This Row],[jours jusqu''à l''écheance]]-($B$4-$B$11-1)&gt;0,Tableau3384[[#This Row],[Montant
CHF]],""),"")</f>
        <v/>
      </c>
      <c r="S243" s="143"/>
      <c r="T243" s="95" t="str">
        <f>IF(Tableau3384[[#This Row],[Paiements prevus]]="oui",Tableau3384[[#This Row],[Montant prevu à payer CH]],"")</f>
        <v/>
      </c>
      <c r="U243" s="131"/>
      <c r="V243" s="74"/>
      <c r="W243" s="69"/>
      <c r="X243" s="27">
        <v>45419</v>
      </c>
      <c r="Y243" s="28" t="s">
        <v>58</v>
      </c>
      <c r="Z243" s="120" t="str">
        <f>IF(Tableau3384[[#This Row],[Méthode du paiement]]="Mastercard","OUI","")</f>
        <v/>
      </c>
      <c r="AA243" s="158" t="s">
        <v>4</v>
      </c>
      <c r="AB243" s="158" t="s">
        <v>195</v>
      </c>
    </row>
    <row r="244" spans="1:28" hidden="1" x14ac:dyDescent="0.25">
      <c r="A244" s="182" t="s">
        <v>573</v>
      </c>
      <c r="B244" s="185">
        <v>45386</v>
      </c>
      <c r="C244" s="185">
        <v>45386</v>
      </c>
      <c r="D244" s="186" t="s">
        <v>74</v>
      </c>
      <c r="E244" s="11">
        <v>1293.95</v>
      </c>
      <c r="F244" s="195">
        <v>8.1</v>
      </c>
      <c r="G244" s="193"/>
      <c r="H244" s="136">
        <f>Tableau3384[[#This Row],[Montant
CHF]]+Tableau3384[[#This Row],[Abzug/Spesen
CHF]]</f>
        <v>1293.95</v>
      </c>
      <c r="I244" s="188"/>
      <c r="J244" s="189"/>
      <c r="K244" s="189"/>
      <c r="L244" s="298"/>
      <c r="M244" s="194"/>
      <c r="N244" s="21">
        <v>45416</v>
      </c>
      <c r="O244" s="282" t="str">
        <f>IF(Tableau3384[[#This Row],[Date du paiement]]&gt;0,"",Tableau3384[[#This Row],[Montant
CHF]])</f>
        <v/>
      </c>
      <c r="P244" s="276" t="str">
        <f>IF(Tableau3384[[#This Row],[Date du paiement]]="",$B$4-Tableau3384[[#This Row],[Écheance]],"")</f>
        <v/>
      </c>
      <c r="Q244" s="168" t="str">
        <f>IF(Tableau3384[[#This Row],[Date du paiement]]="",IF(Tableau3384[[#This Row],[jours jusqu''à l''écheance]]&gt;0,Tableau3384[[#This Row],[Montant
CHF]],""),"")</f>
        <v/>
      </c>
      <c r="R244" s="298" t="str">
        <f>IF(Tableau3384[[#This Row],[Date du paiement]]="",IF(Tableau3384[[#This Row],[jours jusqu''à l''écheance]]-($B$4-$B$11-1)&gt;0,Tableau3384[[#This Row],[Montant
CHF]],""),"")</f>
        <v/>
      </c>
      <c r="S244" s="142"/>
      <c r="T244" s="95" t="str">
        <f>IF(Tableau3384[[#This Row],[Paiements prevus]]="oui",Tableau3384[[#This Row],[Montant prevu à payer CH]],"")</f>
        <v/>
      </c>
      <c r="U244" s="176"/>
      <c r="V244" s="192"/>
      <c r="W244" s="190"/>
      <c r="X244" s="187">
        <v>45427</v>
      </c>
      <c r="Y244" s="181" t="s">
        <v>58</v>
      </c>
      <c r="Z244" s="120" t="str">
        <f>IF(Tableau3384[[#This Row],[Méthode du paiement]]="Mastercard","OUI","")</f>
        <v/>
      </c>
      <c r="AA244" s="180" t="s">
        <v>14</v>
      </c>
      <c r="AB244" s="180" t="s">
        <v>574</v>
      </c>
    </row>
    <row r="245" spans="1:28" hidden="1" x14ac:dyDescent="0.25">
      <c r="A245" s="9" t="s">
        <v>397</v>
      </c>
      <c r="B245" s="21">
        <v>45386</v>
      </c>
      <c r="C245" s="21">
        <v>45387</v>
      </c>
      <c r="D245" s="22" t="s">
        <v>10</v>
      </c>
      <c r="E245" s="11">
        <v>470.85</v>
      </c>
      <c r="F245" s="88">
        <v>8.1</v>
      </c>
      <c r="G245" s="80"/>
      <c r="H245" s="136">
        <f>Tableau3384[[#This Row],[Montant
CHF]]+Tableau3384[[#This Row],[Abzug/Spesen
CHF]]</f>
        <v>470.85</v>
      </c>
      <c r="I245" s="39"/>
      <c r="J245" s="40"/>
      <c r="K245" s="189"/>
      <c r="L245" s="298"/>
      <c r="M245" s="81"/>
      <c r="N245" s="21">
        <v>45416</v>
      </c>
      <c r="O245" s="282" t="str">
        <f>IF(Tableau3384[[#This Row],[Date du paiement]]&gt;0,"",Tableau3384[[#This Row],[Montant
CHF]])</f>
        <v/>
      </c>
      <c r="P245" s="276" t="str">
        <f>IF(Tableau3384[[#This Row],[Date du paiement]]="",$B$4-Tableau3384[[#This Row],[Écheance]],"")</f>
        <v/>
      </c>
      <c r="Q245" s="168" t="str">
        <f>IF(Tableau3384[[#This Row],[Date du paiement]]="",IF(Tableau3384[[#This Row],[jours jusqu''à l''écheance]]&gt;0,Tableau3384[[#This Row],[Montant
CHF]],""),"")</f>
        <v/>
      </c>
      <c r="R245" s="298" t="str">
        <f>IF(Tableau3384[[#This Row],[Date du paiement]]="",IF(Tableau3384[[#This Row],[jours jusqu''à l''écheance]]-($B$4-$B$11-1)&gt;0,Tableau3384[[#This Row],[Montant
CHF]],""),"")</f>
        <v/>
      </c>
      <c r="S245" s="142"/>
      <c r="T245" s="95" t="str">
        <f>IF(Tableau3384[[#This Row],[Paiements prevus]]="oui",Tableau3384[[#This Row],[Montant prevu à payer CH]],"")</f>
        <v/>
      </c>
      <c r="U245" s="129"/>
      <c r="V245" s="73"/>
      <c r="W245" s="68"/>
      <c r="X245" s="23">
        <v>45427</v>
      </c>
      <c r="Y245" s="7" t="s">
        <v>58</v>
      </c>
      <c r="Z245" s="120" t="str">
        <f>IF(Tableau3384[[#This Row],[Méthode du paiement]]="Mastercard","OUI","")</f>
        <v/>
      </c>
      <c r="AA245" s="6" t="s">
        <v>294</v>
      </c>
      <c r="AB245" s="6" t="s">
        <v>398</v>
      </c>
    </row>
    <row r="246" spans="1:28" hidden="1" x14ac:dyDescent="0.25">
      <c r="A246" s="9" t="s">
        <v>531</v>
      </c>
      <c r="B246" s="21">
        <v>45386</v>
      </c>
      <c r="C246" s="21">
        <v>45387</v>
      </c>
      <c r="D246" s="22" t="s">
        <v>13</v>
      </c>
      <c r="E246" s="11">
        <f>Tableau3384[[#This Row],[Montant
EUR]]*Tableau3384[[#This Row],[Taux 
de change]]</f>
        <v>26007.707683723998</v>
      </c>
      <c r="F246" s="88">
        <v>0</v>
      </c>
      <c r="G246" s="80"/>
      <c r="H246" s="136">
        <f>Tableau3384[[#This Row],[Montant
CHF]]+Tableau3384[[#This Row],[Abzug/Spesen
CHF]]</f>
        <v>26007.707683723998</v>
      </c>
      <c r="I246" s="39">
        <v>0.96023720000000001</v>
      </c>
      <c r="J246" s="40">
        <v>27084.67</v>
      </c>
      <c r="K246" s="189"/>
      <c r="L246" s="358"/>
      <c r="M246" s="81"/>
      <c r="N246" s="21">
        <v>45447</v>
      </c>
      <c r="O246" s="282" t="str">
        <f>IF(Tableau3384[[#This Row],[Date du paiement]]&gt;0,"",Tableau3384[[#This Row],[Montant
CHF]])</f>
        <v/>
      </c>
      <c r="P246" s="276" t="str">
        <f>IF(Tableau3384[[#This Row],[Date du paiement]]="",$B$4-Tableau3384[[#This Row],[Écheance]],"")</f>
        <v/>
      </c>
      <c r="Q246" s="168" t="str">
        <f>IF(Tableau3384[[#This Row],[Date du paiement]]="",IF(Tableau3384[[#This Row],[jours jusqu''à l''écheance]]&gt;0,Tableau3384[[#This Row],[Montant
CHF]],""),"")</f>
        <v/>
      </c>
      <c r="R246" s="298" t="str">
        <f>IF(Tableau3384[[#This Row],[Date du paiement]]="",IF(Tableau3384[[#This Row],[jours jusqu''à l''écheance]]-($B$4-$B$11-1)&gt;0,Tableau3384[[#This Row],[Montant
CHF]],""),"")</f>
        <v/>
      </c>
      <c r="S246" s="142"/>
      <c r="T246" s="95" t="str">
        <f>IF(Tableau3384[[#This Row],[Paiements prevus]]="oui",Tableau3384[[#This Row],[Montant prevu à payer CH]],"")</f>
        <v/>
      </c>
      <c r="U246" s="129"/>
      <c r="V246" s="73">
        <v>2002</v>
      </c>
      <c r="W246" s="68"/>
      <c r="X246" s="23">
        <v>45461</v>
      </c>
      <c r="Y246" s="7" t="s">
        <v>58</v>
      </c>
      <c r="Z246" s="120" t="str">
        <f>IF(Tableau3384[[#This Row],[Méthode du paiement]]="Mastercard","OUI","")</f>
        <v/>
      </c>
      <c r="AA246" s="6" t="s">
        <v>14</v>
      </c>
      <c r="AB246" s="6" t="s">
        <v>413</v>
      </c>
    </row>
    <row r="247" spans="1:28" hidden="1" x14ac:dyDescent="0.25">
      <c r="A247" s="9" t="s">
        <v>405</v>
      </c>
      <c r="B247" s="21">
        <v>45387</v>
      </c>
      <c r="C247" s="21">
        <v>45387</v>
      </c>
      <c r="D247" s="22" t="s">
        <v>446</v>
      </c>
      <c r="E247" s="11">
        <v>262.25</v>
      </c>
      <c r="F247" s="88" t="s">
        <v>0</v>
      </c>
      <c r="G247" s="80"/>
      <c r="H247" s="136">
        <f>Tableau3384[[#This Row],[Montant
CHF]]+Tableau3384[[#This Row],[Abzug/Spesen
CHF]]</f>
        <v>262.25</v>
      </c>
      <c r="I247" s="39"/>
      <c r="J247" s="40"/>
      <c r="K247" s="189"/>
      <c r="L247" s="298"/>
      <c r="M247" s="81" t="s">
        <v>447</v>
      </c>
      <c r="N247" s="21">
        <v>45397</v>
      </c>
      <c r="O247" s="282" t="str">
        <f>IF(Tableau3384[[#This Row],[Date du paiement]]&gt;0,"",Tableau3384[[#This Row],[Montant
CHF]])</f>
        <v/>
      </c>
      <c r="P247" s="276" t="str">
        <f>IF(Tableau3384[[#This Row],[Date du paiement]]="",$B$4-Tableau3384[[#This Row],[Écheance]],"")</f>
        <v/>
      </c>
      <c r="Q247" s="168" t="str">
        <f>IF(Tableau3384[[#This Row],[Date du paiement]]="",IF(Tableau3384[[#This Row],[jours jusqu''à l''écheance]]&gt;0,Tableau3384[[#This Row],[Montant
CHF]],""),"")</f>
        <v/>
      </c>
      <c r="R247" s="298" t="str">
        <f>IF(Tableau3384[[#This Row],[Date du paiement]]="",IF(Tableau3384[[#This Row],[jours jusqu''à l''écheance]]-($B$4-$B$11-1)&gt;0,Tableau3384[[#This Row],[Montant
CHF]],""),"")</f>
        <v/>
      </c>
      <c r="S247" s="142"/>
      <c r="T247" s="95" t="str">
        <f>IF(Tableau3384[[#This Row],[Paiements prevus]]="oui",Tableau3384[[#This Row],[Montant prevu à payer CH]],"")</f>
        <v/>
      </c>
      <c r="U247" s="129"/>
      <c r="V247" s="73"/>
      <c r="W247" s="68"/>
      <c r="X247" s="23">
        <v>45419</v>
      </c>
      <c r="Y247" s="7" t="s">
        <v>58</v>
      </c>
      <c r="Z247" s="120" t="str">
        <f>IF(Tableau3384[[#This Row],[Méthode du paiement]]="Mastercard","OUI","")</f>
        <v/>
      </c>
      <c r="AA247" s="6" t="s">
        <v>26</v>
      </c>
      <c r="AB247" s="6" t="s">
        <v>406</v>
      </c>
    </row>
    <row r="248" spans="1:28" hidden="1" x14ac:dyDescent="0.25">
      <c r="A248" s="9" t="s">
        <v>432</v>
      </c>
      <c r="B248" s="21">
        <v>45387</v>
      </c>
      <c r="C248" s="21">
        <v>45390</v>
      </c>
      <c r="D248" s="22" t="s">
        <v>196</v>
      </c>
      <c r="E248" s="11">
        <v>561.85</v>
      </c>
      <c r="F248" s="88">
        <v>8.1</v>
      </c>
      <c r="G248" s="80"/>
      <c r="H248" s="136">
        <f>Tableau3384[[#This Row],[Montant
CHF]]+Tableau3384[[#This Row],[Abzug/Spesen
CHF]]</f>
        <v>561.85</v>
      </c>
      <c r="I248" s="39"/>
      <c r="J248" s="40"/>
      <c r="K248" s="189"/>
      <c r="L248" s="298"/>
      <c r="M248" s="81" t="s">
        <v>450</v>
      </c>
      <c r="N248" s="21">
        <v>45397</v>
      </c>
      <c r="O248" s="282" t="str">
        <f>IF(Tableau3384[[#This Row],[Date du paiement]]&gt;0,"",Tableau3384[[#This Row],[Montant
CHF]])</f>
        <v/>
      </c>
      <c r="P248" s="276" t="str">
        <f>IF(Tableau3384[[#This Row],[Date du paiement]]="",$B$4-Tableau3384[[#This Row],[Écheance]],"")</f>
        <v/>
      </c>
      <c r="Q248" s="168" t="str">
        <f>IF(Tableau3384[[#This Row],[Date du paiement]]="",IF(Tableau3384[[#This Row],[jours jusqu''à l''écheance]]&gt;0,Tableau3384[[#This Row],[Montant
CHF]],""),"")</f>
        <v/>
      </c>
      <c r="R248" s="298" t="str">
        <f>IF(Tableau3384[[#This Row],[Date du paiement]]="",IF(Tableau3384[[#This Row],[jours jusqu''à l''écheance]]-($B$4-$B$11-1)&gt;0,Tableau3384[[#This Row],[Montant
CHF]],""),"")</f>
        <v/>
      </c>
      <c r="S248" s="142"/>
      <c r="T248" s="95" t="str">
        <f>IF(Tableau3384[[#This Row],[Paiements prevus]]="oui",Tableau3384[[#This Row],[Montant prevu à payer CH]],"")</f>
        <v/>
      </c>
      <c r="U248" s="129"/>
      <c r="V248" s="73"/>
      <c r="W248" s="68"/>
      <c r="X248" s="23">
        <v>45419</v>
      </c>
      <c r="Y248" s="7" t="s">
        <v>58</v>
      </c>
      <c r="Z248" s="120" t="str">
        <f>IF(Tableau3384[[#This Row],[Méthode du paiement]]="Mastercard","OUI","")</f>
        <v/>
      </c>
      <c r="AA248" s="6" t="s">
        <v>4</v>
      </c>
      <c r="AB248" s="6" t="s">
        <v>435</v>
      </c>
    </row>
    <row r="249" spans="1:28" hidden="1" x14ac:dyDescent="0.25">
      <c r="A249" s="182" t="s">
        <v>433</v>
      </c>
      <c r="B249" s="185">
        <v>45387</v>
      </c>
      <c r="C249" s="185">
        <v>45390</v>
      </c>
      <c r="D249" s="186" t="s">
        <v>196</v>
      </c>
      <c r="E249" s="11">
        <v>291.35000000000002</v>
      </c>
      <c r="F249" s="195">
        <v>8.1</v>
      </c>
      <c r="G249" s="193"/>
      <c r="H249" s="136">
        <f>Tableau3384[[#This Row],[Montant
CHF]]+Tableau3384[[#This Row],[Abzug/Spesen
CHF]]</f>
        <v>291.35000000000002</v>
      </c>
      <c r="I249" s="188"/>
      <c r="J249" s="189"/>
      <c r="K249" s="189"/>
      <c r="L249" s="298"/>
      <c r="M249" s="194"/>
      <c r="N249" s="21">
        <v>45397</v>
      </c>
      <c r="O249" s="282" t="str">
        <f>IF(Tableau3384[[#This Row],[Date du paiement]]&gt;0,"",Tableau3384[[#This Row],[Montant
CHF]])</f>
        <v/>
      </c>
      <c r="P249" s="276" t="str">
        <f>IF(Tableau3384[[#This Row],[Date du paiement]]="",$B$4-Tableau3384[[#This Row],[Écheance]],"")</f>
        <v/>
      </c>
      <c r="Q249" s="168" t="str">
        <f>IF(Tableau3384[[#This Row],[Date du paiement]]="",IF(Tableau3384[[#This Row],[jours jusqu''à l''écheance]]&gt;0,Tableau3384[[#This Row],[Montant
CHF]],""),"")</f>
        <v/>
      </c>
      <c r="R249" s="298" t="str">
        <f>IF(Tableau3384[[#This Row],[Date du paiement]]="",IF(Tableau3384[[#This Row],[jours jusqu''à l''écheance]]-($B$4-$B$11-1)&gt;0,Tableau3384[[#This Row],[Montant
CHF]],""),"")</f>
        <v/>
      </c>
      <c r="S249" s="142"/>
      <c r="T249" s="95" t="str">
        <f>IF(Tableau3384[[#This Row],[Paiements prevus]]="oui",Tableau3384[[#This Row],[Montant prevu à payer CH]],"")</f>
        <v/>
      </c>
      <c r="U249" s="176"/>
      <c r="V249" s="192"/>
      <c r="W249" s="190"/>
      <c r="X249" s="187">
        <v>45419</v>
      </c>
      <c r="Y249" s="181" t="s">
        <v>58</v>
      </c>
      <c r="Z249" s="120" t="str">
        <f>IF(Tableau3384[[#This Row],[Méthode du paiement]]="Mastercard","OUI","")</f>
        <v/>
      </c>
      <c r="AA249" s="180" t="s">
        <v>4</v>
      </c>
      <c r="AB249" s="180" t="s">
        <v>436</v>
      </c>
    </row>
    <row r="250" spans="1:28" hidden="1" x14ac:dyDescent="0.25">
      <c r="A250" s="9" t="s">
        <v>434</v>
      </c>
      <c r="B250" s="21">
        <v>45387</v>
      </c>
      <c r="C250" s="21">
        <v>45390</v>
      </c>
      <c r="D250" s="22" t="s">
        <v>196</v>
      </c>
      <c r="E250" s="11">
        <v>520.25</v>
      </c>
      <c r="F250" s="88">
        <v>8.1</v>
      </c>
      <c r="G250" s="80"/>
      <c r="H250" s="136">
        <f>Tableau3384[[#This Row],[Montant
CHF]]+Tableau3384[[#This Row],[Abzug/Spesen
CHF]]</f>
        <v>520.25</v>
      </c>
      <c r="I250" s="39"/>
      <c r="J250" s="40"/>
      <c r="K250" s="189"/>
      <c r="L250" s="298"/>
      <c r="M250" s="81" t="s">
        <v>450</v>
      </c>
      <c r="N250" s="21">
        <v>45397</v>
      </c>
      <c r="O250" s="282" t="str">
        <f>IF(Tableau3384[[#This Row],[Date du paiement]]&gt;0,"",Tableau3384[[#This Row],[Montant
CHF]])</f>
        <v/>
      </c>
      <c r="P250" s="276" t="str">
        <f>IF(Tableau3384[[#This Row],[Date du paiement]]="",$B$4-Tableau3384[[#This Row],[Écheance]],"")</f>
        <v/>
      </c>
      <c r="Q250" s="168" t="str">
        <f>IF(Tableau3384[[#This Row],[Date du paiement]]="",IF(Tableau3384[[#This Row],[jours jusqu''à l''écheance]]&gt;0,Tableau3384[[#This Row],[Montant
CHF]],""),"")</f>
        <v/>
      </c>
      <c r="R250" s="298" t="str">
        <f>IF(Tableau3384[[#This Row],[Date du paiement]]="",IF(Tableau3384[[#This Row],[jours jusqu''à l''écheance]]-($B$4-$B$11-1)&gt;0,Tableau3384[[#This Row],[Montant
CHF]],""),"")</f>
        <v/>
      </c>
      <c r="S250" s="142"/>
      <c r="T250" s="95" t="str">
        <f>IF(Tableau3384[[#This Row],[Paiements prevus]]="oui",Tableau3384[[#This Row],[Montant prevu à payer CH]],"")</f>
        <v/>
      </c>
      <c r="U250" s="129"/>
      <c r="V250" s="73"/>
      <c r="W250" s="68"/>
      <c r="X250" s="23">
        <v>45419</v>
      </c>
      <c r="Y250" s="7" t="s">
        <v>58</v>
      </c>
      <c r="Z250" s="120" t="str">
        <f>IF(Tableau3384[[#This Row],[Méthode du paiement]]="Mastercard","OUI","")</f>
        <v/>
      </c>
      <c r="AA250" s="6" t="s">
        <v>4</v>
      </c>
      <c r="AB250" s="6" t="s">
        <v>437</v>
      </c>
    </row>
    <row r="251" spans="1:28" hidden="1" x14ac:dyDescent="0.25">
      <c r="A251" s="9" t="s">
        <v>41</v>
      </c>
      <c r="B251" s="21">
        <v>45388</v>
      </c>
      <c r="C251" s="21">
        <v>45390</v>
      </c>
      <c r="D251" s="22" t="s">
        <v>42</v>
      </c>
      <c r="E251" s="11">
        <v>36</v>
      </c>
      <c r="F251" s="88">
        <v>8.1</v>
      </c>
      <c r="G251" s="80"/>
      <c r="H251" s="136">
        <f>Tableau3384[[#This Row],[Montant
CHF]]+Tableau3384[[#This Row],[Abzug/Spesen
CHF]]</f>
        <v>36</v>
      </c>
      <c r="I251" s="39"/>
      <c r="J251" s="40"/>
      <c r="K251" s="189"/>
      <c r="L251" s="298"/>
      <c r="M251" s="81"/>
      <c r="N251" s="21">
        <v>45418</v>
      </c>
      <c r="O251" s="282" t="str">
        <f>IF(Tableau3384[[#This Row],[Date du paiement]]&gt;0,"",Tableau3384[[#This Row],[Montant
CHF]])</f>
        <v/>
      </c>
      <c r="P251" s="276" t="str">
        <f>IF(Tableau3384[[#This Row],[Date du paiement]]="",$B$4-Tableau3384[[#This Row],[Écheance]],"")</f>
        <v/>
      </c>
      <c r="Q251" s="168" t="str">
        <f>IF(Tableau3384[[#This Row],[Date du paiement]]="",IF(Tableau3384[[#This Row],[jours jusqu''à l''écheance]]&gt;0,Tableau3384[[#This Row],[Montant
CHF]],""),"")</f>
        <v/>
      </c>
      <c r="R251" s="298" t="str">
        <f>IF(Tableau3384[[#This Row],[Date du paiement]]="",IF(Tableau3384[[#This Row],[jours jusqu''à l''écheance]]-($B$4-$B$11-1)&gt;0,Tableau3384[[#This Row],[Montant
CHF]],""),"")</f>
        <v/>
      </c>
      <c r="S251" s="142"/>
      <c r="T251" s="95" t="str">
        <f>IF(Tableau3384[[#This Row],[Paiements prevus]]="oui",Tableau3384[[#This Row],[Montant prevu à payer CH]],"")</f>
        <v/>
      </c>
      <c r="U251" s="129"/>
      <c r="V251" s="73"/>
      <c r="W251" s="68"/>
      <c r="X251" s="23">
        <v>45419</v>
      </c>
      <c r="Y251" s="7" t="s">
        <v>58</v>
      </c>
      <c r="Z251" s="120" t="str">
        <f>IF(Tableau3384[[#This Row],[Méthode du paiement]]="Mastercard","OUI","")</f>
        <v/>
      </c>
      <c r="AA251" s="6" t="s">
        <v>43</v>
      </c>
      <c r="AB251" s="6" t="s">
        <v>429</v>
      </c>
    </row>
    <row r="252" spans="1:28" hidden="1" x14ac:dyDescent="0.25">
      <c r="A252" s="9" t="s">
        <v>468</v>
      </c>
      <c r="B252" s="21">
        <v>45390</v>
      </c>
      <c r="C252" s="21">
        <v>45390</v>
      </c>
      <c r="D252" s="22" t="s">
        <v>216</v>
      </c>
      <c r="E252" s="11">
        <v>4640.8</v>
      </c>
      <c r="F252" s="88">
        <v>100</v>
      </c>
      <c r="G252" s="80"/>
      <c r="H252" s="136">
        <f>Tableau3384[[#This Row],[Montant
CHF]]+Tableau3384[[#This Row],[Abzug/Spesen
CHF]]</f>
        <v>4640.8</v>
      </c>
      <c r="I252" s="39"/>
      <c r="J252" s="40"/>
      <c r="K252" s="189"/>
      <c r="L252" s="298"/>
      <c r="M252" s="81"/>
      <c r="N252" s="21">
        <v>45450</v>
      </c>
      <c r="O252" s="282" t="str">
        <f>IF(Tableau3384[[#This Row],[Date du paiement]]&gt;0,"",Tableau3384[[#This Row],[Montant
CHF]])</f>
        <v/>
      </c>
      <c r="P252" s="276" t="str">
        <f>IF(Tableau3384[[#This Row],[Date du paiement]]="",$B$4-Tableau3384[[#This Row],[Écheance]],"")</f>
        <v/>
      </c>
      <c r="Q252" s="168" t="str">
        <f>IF(Tableau3384[[#This Row],[Date du paiement]]="",IF(Tableau3384[[#This Row],[jours jusqu''à l''écheance]]&gt;0,Tableau3384[[#This Row],[Montant
CHF]],""),"")</f>
        <v/>
      </c>
      <c r="R252" s="298" t="str">
        <f>IF(Tableau3384[[#This Row],[Date du paiement]]="",IF(Tableau3384[[#This Row],[jours jusqu''à l''écheance]]-($B$4-$B$11-1)&gt;0,Tableau3384[[#This Row],[Montant
CHF]],""),"")</f>
        <v/>
      </c>
      <c r="S252" s="142"/>
      <c r="T252" s="95" t="str">
        <f>IF(Tableau3384[[#This Row],[Paiements prevus]]="oui",Tableau3384[[#This Row],[Montant prevu à payer CH]],"")</f>
        <v/>
      </c>
      <c r="U252" s="129"/>
      <c r="V252" s="73"/>
      <c r="W252" s="68"/>
      <c r="X252" s="23">
        <v>45453</v>
      </c>
      <c r="Y252" s="7" t="s">
        <v>58</v>
      </c>
      <c r="Z252" s="120" t="str">
        <f>IF(Tableau3384[[#This Row],[Méthode du paiement]]="Mastercard","OUI","")</f>
        <v/>
      </c>
      <c r="AA252" s="6" t="s">
        <v>604</v>
      </c>
      <c r="AB252" s="6" t="s">
        <v>469</v>
      </c>
    </row>
    <row r="253" spans="1:28" hidden="1" x14ac:dyDescent="0.25">
      <c r="A253" s="9" t="s">
        <v>448</v>
      </c>
      <c r="B253" s="21">
        <v>45391</v>
      </c>
      <c r="C253" s="21">
        <v>45391</v>
      </c>
      <c r="D253" s="22" t="s">
        <v>196</v>
      </c>
      <c r="E253" s="11">
        <v>561.85</v>
      </c>
      <c r="F253" s="88">
        <v>8.1</v>
      </c>
      <c r="G253" s="80"/>
      <c r="H253" s="136">
        <f>Tableau3384[[#This Row],[Montant
CHF]]+Tableau3384[[#This Row],[Abzug/Spesen
CHF]]</f>
        <v>561.85</v>
      </c>
      <c r="I253" s="39"/>
      <c r="J253" s="40"/>
      <c r="K253" s="189"/>
      <c r="L253" s="298"/>
      <c r="M253" s="81" t="s">
        <v>450</v>
      </c>
      <c r="N253" s="21">
        <v>45401</v>
      </c>
      <c r="O253" s="282" t="str">
        <f>IF(Tableau3384[[#This Row],[Date du paiement]]&gt;0,"",Tableau3384[[#This Row],[Montant
CHF]])</f>
        <v/>
      </c>
      <c r="P253" s="276" t="str">
        <f>IF(Tableau3384[[#This Row],[Date du paiement]]="",$B$4-Tableau3384[[#This Row],[Écheance]],"")</f>
        <v/>
      </c>
      <c r="Q253" s="168" t="str">
        <f>IF(Tableau3384[[#This Row],[Date du paiement]]="",IF(Tableau3384[[#This Row],[jours jusqu''à l''écheance]]&gt;0,Tableau3384[[#This Row],[Montant
CHF]],""),"")</f>
        <v/>
      </c>
      <c r="R253" s="298" t="str">
        <f>IF(Tableau3384[[#This Row],[Date du paiement]]="",IF(Tableau3384[[#This Row],[jours jusqu''à l''écheance]]-($B$4-$B$11-1)&gt;0,Tableau3384[[#This Row],[Montant
CHF]],""),"")</f>
        <v/>
      </c>
      <c r="S253" s="142"/>
      <c r="T253" s="95" t="str">
        <f>IF(Tableau3384[[#This Row],[Paiements prevus]]="oui",Tableau3384[[#This Row],[Montant prevu à payer CH]],"")</f>
        <v/>
      </c>
      <c r="U253" s="129"/>
      <c r="V253" s="73"/>
      <c r="W253" s="68"/>
      <c r="X253" s="23">
        <v>45420</v>
      </c>
      <c r="Y253" s="7" t="s">
        <v>58</v>
      </c>
      <c r="Z253" s="120" t="str">
        <f>IF(Tableau3384[[#This Row],[Méthode du paiement]]="Mastercard","OUI","")</f>
        <v/>
      </c>
      <c r="AA253" s="6" t="s">
        <v>4</v>
      </c>
      <c r="AB253" s="6" t="s">
        <v>449</v>
      </c>
    </row>
    <row r="254" spans="1:28" hidden="1" x14ac:dyDescent="0.25">
      <c r="A254" s="9" t="s">
        <v>426</v>
      </c>
      <c r="B254" s="21">
        <v>45391</v>
      </c>
      <c r="C254" s="21">
        <v>45391</v>
      </c>
      <c r="D254" s="22" t="s">
        <v>25</v>
      </c>
      <c r="E254" s="11">
        <v>40</v>
      </c>
      <c r="F254" s="88">
        <v>0</v>
      </c>
      <c r="G254" s="80"/>
      <c r="H254" s="136">
        <f>Tableau3384[[#This Row],[Montant
CHF]]+Tableau3384[[#This Row],[Abzug/Spesen
CHF]]</f>
        <v>40</v>
      </c>
      <c r="I254" s="39"/>
      <c r="J254" s="40"/>
      <c r="K254" s="189"/>
      <c r="L254" s="298"/>
      <c r="M254" s="81"/>
      <c r="N254" s="21">
        <v>45411</v>
      </c>
      <c r="O254" s="282" t="str">
        <f>IF(Tableau3384[[#This Row],[Date du paiement]]&gt;0,"",Tableau3384[[#This Row],[Montant
CHF]])</f>
        <v/>
      </c>
      <c r="P254" s="276" t="str">
        <f>IF(Tableau3384[[#This Row],[Date du paiement]]="",$B$4-Tableau3384[[#This Row],[Écheance]],"")</f>
        <v/>
      </c>
      <c r="Q254" s="168" t="str">
        <f>IF(Tableau3384[[#This Row],[Date du paiement]]="",IF(Tableau3384[[#This Row],[jours jusqu''à l''écheance]]&gt;0,Tableau3384[[#This Row],[Montant
CHF]],""),"")</f>
        <v/>
      </c>
      <c r="R254" s="298" t="str">
        <f>IF(Tableau3384[[#This Row],[Date du paiement]]="",IF(Tableau3384[[#This Row],[jours jusqu''à l''écheance]]-($B$4-$B$11-1)&gt;0,Tableau3384[[#This Row],[Montant
CHF]],""),"")</f>
        <v/>
      </c>
      <c r="S254" s="142"/>
      <c r="T254" s="95" t="str">
        <f>IF(Tableau3384[[#This Row],[Paiements prevus]]="oui",Tableau3384[[#This Row],[Montant prevu à payer CH]],"")</f>
        <v/>
      </c>
      <c r="U254" s="129"/>
      <c r="V254" s="73"/>
      <c r="W254" s="68"/>
      <c r="X254" s="23">
        <v>45420</v>
      </c>
      <c r="Y254" s="7" t="s">
        <v>58</v>
      </c>
      <c r="Z254" s="120" t="str">
        <f>IF(Tableau3384[[#This Row],[Méthode du paiement]]="Mastercard","OUI","")</f>
        <v/>
      </c>
      <c r="AA254" s="6" t="s">
        <v>26</v>
      </c>
      <c r="AB254" s="6" t="s">
        <v>427</v>
      </c>
    </row>
    <row r="255" spans="1:28" hidden="1" x14ac:dyDescent="0.25">
      <c r="A255" s="9" t="s">
        <v>507</v>
      </c>
      <c r="B255" s="21">
        <v>45393</v>
      </c>
      <c r="C255" s="21">
        <v>45393</v>
      </c>
      <c r="D255" s="22" t="s">
        <v>188</v>
      </c>
      <c r="E255" s="11">
        <v>99</v>
      </c>
      <c r="F255" s="88">
        <v>0</v>
      </c>
      <c r="G255" s="80"/>
      <c r="H255" s="136">
        <f>Tableau3384[[#This Row],[Montant
CHF]]+Tableau3384[[#This Row],[Abzug/Spesen
CHF]]</f>
        <v>99</v>
      </c>
      <c r="I255" s="39"/>
      <c r="J255" s="40"/>
      <c r="K255" s="189"/>
      <c r="L255" s="298"/>
      <c r="M255" s="81"/>
      <c r="N255" s="21">
        <v>45393</v>
      </c>
      <c r="O255" s="282" t="str">
        <f>IF(Tableau3384[[#This Row],[Date du paiement]]&gt;0,"",Tableau3384[[#This Row],[Montant
CHF]])</f>
        <v/>
      </c>
      <c r="P255" s="276" t="str">
        <f>IF(Tableau3384[[#This Row],[Date du paiement]]="",$B$4-Tableau3384[[#This Row],[Écheance]],"")</f>
        <v/>
      </c>
      <c r="Q255" s="168" t="str">
        <f>IF(Tableau3384[[#This Row],[Date du paiement]]="",IF(Tableau3384[[#This Row],[jours jusqu''à l''écheance]]&gt;0,Tableau3384[[#This Row],[Montant
CHF]],""),"")</f>
        <v/>
      </c>
      <c r="R255" s="298" t="str">
        <f>IF(Tableau3384[[#This Row],[Date du paiement]]="",IF(Tableau3384[[#This Row],[jours jusqu''à l''écheance]]-($B$4-$B$11-1)&gt;0,Tableau3384[[#This Row],[Montant
CHF]],""),"")</f>
        <v/>
      </c>
      <c r="S255" s="142"/>
      <c r="T255" s="95" t="str">
        <f>IF(Tableau3384[[#This Row],[Paiements prevus]]="oui",Tableau3384[[#This Row],[Montant prevu à payer CH]],"")</f>
        <v/>
      </c>
      <c r="U255" s="129"/>
      <c r="V255" s="73"/>
      <c r="W255" s="68"/>
      <c r="X255" s="23">
        <v>45393</v>
      </c>
      <c r="Y255" s="7" t="s">
        <v>345</v>
      </c>
      <c r="Z255" s="120" t="str">
        <f>IF(Tableau3384[[#This Row],[Méthode du paiement]]="Mastercard","OUI","")</f>
        <v/>
      </c>
      <c r="AA255" s="6" t="s">
        <v>43</v>
      </c>
      <c r="AB255" s="6" t="s">
        <v>508</v>
      </c>
    </row>
    <row r="256" spans="1:28" hidden="1" x14ac:dyDescent="0.25">
      <c r="A256" s="9" t="s">
        <v>458</v>
      </c>
      <c r="B256" s="21">
        <v>45393</v>
      </c>
      <c r="C256" s="21">
        <v>45393</v>
      </c>
      <c r="D256" s="22" t="s">
        <v>29</v>
      </c>
      <c r="E256" s="11">
        <v>1196.2</v>
      </c>
      <c r="F256" s="88">
        <v>8.1</v>
      </c>
      <c r="G256" s="80"/>
      <c r="H256" s="136">
        <f>Tableau3384[[#This Row],[Montant
CHF]]+Tableau3384[[#This Row],[Abzug/Spesen
CHF]]</f>
        <v>1196.2</v>
      </c>
      <c r="I256" s="39"/>
      <c r="J256" s="40"/>
      <c r="K256" s="189"/>
      <c r="L256" s="298"/>
      <c r="M256" s="81"/>
      <c r="N256" s="21">
        <v>45403</v>
      </c>
      <c r="O256" s="282" t="str">
        <f>IF(Tableau3384[[#This Row],[Date du paiement]]&gt;0,"",Tableau3384[[#This Row],[Montant
CHF]])</f>
        <v/>
      </c>
      <c r="P256" s="276" t="str">
        <f>IF(Tableau3384[[#This Row],[Date du paiement]]="",$B$4-Tableau3384[[#This Row],[Écheance]],"")</f>
        <v/>
      </c>
      <c r="Q256" s="168" t="str">
        <f>IF(Tableau3384[[#This Row],[Date du paiement]]="",IF(Tableau3384[[#This Row],[jours jusqu''à l''écheance]]&gt;0,Tableau3384[[#This Row],[Montant
CHF]],""),"")</f>
        <v/>
      </c>
      <c r="R256" s="298" t="str">
        <f>IF(Tableau3384[[#This Row],[Date du paiement]]="",IF(Tableau3384[[#This Row],[jours jusqu''à l''écheance]]-($B$4-$B$11-1)&gt;0,Tableau3384[[#This Row],[Montant
CHF]],""),"")</f>
        <v/>
      </c>
      <c r="S256" s="142"/>
      <c r="T256" s="95" t="str">
        <f>IF(Tableau3384[[#This Row],[Paiements prevus]]="oui",Tableau3384[[#This Row],[Montant prevu à payer CH]],"")</f>
        <v/>
      </c>
      <c r="U256" s="129"/>
      <c r="V256" s="73"/>
      <c r="W256" s="68"/>
      <c r="X256" s="23">
        <v>45425</v>
      </c>
      <c r="Y256" s="7" t="s">
        <v>58</v>
      </c>
      <c r="Z256" s="120" t="str">
        <f>IF(Tableau3384[[#This Row],[Méthode du paiement]]="Mastercard","OUI","")</f>
        <v/>
      </c>
      <c r="AA256" s="6" t="s">
        <v>30</v>
      </c>
      <c r="AB256" s="6" t="s">
        <v>357</v>
      </c>
    </row>
    <row r="257" spans="1:28" hidden="1" x14ac:dyDescent="0.25">
      <c r="A257" s="9" t="s">
        <v>459</v>
      </c>
      <c r="B257" s="21">
        <v>45393</v>
      </c>
      <c r="C257" s="21">
        <v>45393</v>
      </c>
      <c r="D257" s="22" t="s">
        <v>74</v>
      </c>
      <c r="E257" s="11">
        <v>829.15</v>
      </c>
      <c r="F257" s="88">
        <v>8.1</v>
      </c>
      <c r="G257" s="80"/>
      <c r="H257" s="136">
        <f>Tableau3384[[#This Row],[Montant
CHF]]+Tableau3384[[#This Row],[Abzug/Spesen
CHF]]</f>
        <v>829.15</v>
      </c>
      <c r="I257" s="39"/>
      <c r="J257" s="40"/>
      <c r="K257" s="189"/>
      <c r="L257" s="298"/>
      <c r="M257" s="81"/>
      <c r="N257" s="21">
        <v>45422</v>
      </c>
      <c r="O257" s="282" t="str">
        <f>IF(Tableau3384[[#This Row],[Date du paiement]]&gt;0,"",Tableau3384[[#This Row],[Montant
CHF]])</f>
        <v/>
      </c>
      <c r="P257" s="276" t="str">
        <f>IF(Tableau3384[[#This Row],[Date du paiement]]="",$B$4-Tableau3384[[#This Row],[Écheance]],"")</f>
        <v/>
      </c>
      <c r="Q257" s="168" t="str">
        <f>IF(Tableau3384[[#This Row],[Date du paiement]]="",IF(Tableau3384[[#This Row],[jours jusqu''à l''écheance]]&gt;0,Tableau3384[[#This Row],[Montant
CHF]],""),"")</f>
        <v/>
      </c>
      <c r="R257" s="298" t="str">
        <f>IF(Tableau3384[[#This Row],[Date du paiement]]="",IF(Tableau3384[[#This Row],[jours jusqu''à l''écheance]]-($B$4-$B$11-1)&gt;0,Tableau3384[[#This Row],[Montant
CHF]],""),"")</f>
        <v/>
      </c>
      <c r="S257" s="142"/>
      <c r="T257" s="95" t="str">
        <f>IF(Tableau3384[[#This Row],[Paiements prevus]]="oui",Tableau3384[[#This Row],[Montant prevu à payer CH]],"")</f>
        <v/>
      </c>
      <c r="U257" s="129"/>
      <c r="V257" s="73"/>
      <c r="W257" s="68"/>
      <c r="X257" s="23">
        <v>45425</v>
      </c>
      <c r="Y257" s="7" t="s">
        <v>58</v>
      </c>
      <c r="Z257" s="120" t="str">
        <f>IF(Tableau3384[[#This Row],[Méthode du paiement]]="Mastercard","OUI","")</f>
        <v/>
      </c>
      <c r="AA257" s="6" t="s">
        <v>14</v>
      </c>
      <c r="AB257" s="6" t="s">
        <v>460</v>
      </c>
    </row>
    <row r="258" spans="1:28" hidden="1" x14ac:dyDescent="0.25">
      <c r="A258" s="9" t="s">
        <v>444</v>
      </c>
      <c r="B258" s="21">
        <v>45393</v>
      </c>
      <c r="C258" s="21">
        <v>45393</v>
      </c>
      <c r="D258" s="22" t="s">
        <v>25</v>
      </c>
      <c r="E258" s="11">
        <v>40</v>
      </c>
      <c r="F258" s="88">
        <v>0</v>
      </c>
      <c r="G258" s="80"/>
      <c r="H258" s="136">
        <f>Tableau3384[[#This Row],[Montant
CHF]]+Tableau3384[[#This Row],[Abzug/Spesen
CHF]]</f>
        <v>40</v>
      </c>
      <c r="I258" s="39"/>
      <c r="J258" s="40"/>
      <c r="K258" s="189"/>
      <c r="L258" s="298"/>
      <c r="M258" s="81"/>
      <c r="N258" s="21">
        <v>45414</v>
      </c>
      <c r="O258" s="282" t="str">
        <f>IF(Tableau3384[[#This Row],[Date du paiement]]&gt;0,"",Tableau3384[[#This Row],[Montant
CHF]])</f>
        <v/>
      </c>
      <c r="P258" s="276" t="str">
        <f>IF(Tableau3384[[#This Row],[Date du paiement]]="",$B$4-Tableau3384[[#This Row],[Écheance]],"")</f>
        <v/>
      </c>
      <c r="Q258" s="168" t="str">
        <f>IF(Tableau3384[[#This Row],[Date du paiement]]="",IF(Tableau3384[[#This Row],[jours jusqu''à l''écheance]]&gt;0,Tableau3384[[#This Row],[Montant
CHF]],""),"")</f>
        <v/>
      </c>
      <c r="R258" s="298" t="str">
        <f>IF(Tableau3384[[#This Row],[Date du paiement]]="",IF(Tableau3384[[#This Row],[jours jusqu''à l''écheance]]-($B$4-$B$11-1)&gt;0,Tableau3384[[#This Row],[Montant
CHF]],""),"")</f>
        <v/>
      </c>
      <c r="S258" s="142"/>
      <c r="T258" s="95" t="str">
        <f>IF(Tableau3384[[#This Row],[Paiements prevus]]="oui",Tableau3384[[#This Row],[Montant prevu à payer CH]],"")</f>
        <v/>
      </c>
      <c r="U258" s="129"/>
      <c r="V258" s="73"/>
      <c r="W258" s="68"/>
      <c r="X258" s="23">
        <v>45425</v>
      </c>
      <c r="Y258" s="7" t="s">
        <v>58</v>
      </c>
      <c r="Z258" s="120" t="str">
        <f>IF(Tableau3384[[#This Row],[Méthode du paiement]]="Mastercard","OUI","")</f>
        <v/>
      </c>
      <c r="AA258" s="6" t="s">
        <v>26</v>
      </c>
      <c r="AB258" s="6" t="s">
        <v>445</v>
      </c>
    </row>
    <row r="259" spans="1:28" hidden="1" x14ac:dyDescent="0.25">
      <c r="A259" s="9" t="s">
        <v>492</v>
      </c>
      <c r="B259" s="21">
        <v>45393</v>
      </c>
      <c r="C259" s="21">
        <v>45404</v>
      </c>
      <c r="D259" s="22" t="s">
        <v>90</v>
      </c>
      <c r="E259" s="11">
        <f>Tableau3384[[#This Row],[Montant
EUR]]*Tableau3384[[#This Row],[Taux 
de change]]</f>
        <v>5454.13</v>
      </c>
      <c r="F259" s="88">
        <v>0</v>
      </c>
      <c r="G259" s="80"/>
      <c r="H259" s="136">
        <f>Tableau3384[[#This Row],[Montant
CHF]]+Tableau3384[[#This Row],[Abzug/Spesen
CHF]]</f>
        <v>5454.13</v>
      </c>
      <c r="I259" s="39">
        <v>0.98450000000000004</v>
      </c>
      <c r="J259" s="40">
        <v>5540</v>
      </c>
      <c r="K259" s="189"/>
      <c r="L259" s="298"/>
      <c r="M259" s="81"/>
      <c r="N259" s="21">
        <v>45400</v>
      </c>
      <c r="O259" s="282" t="str">
        <f>IF(Tableau3384[[#This Row],[Date du paiement]]&gt;0,"",Tableau3384[[#This Row],[Montant
CHF]])</f>
        <v/>
      </c>
      <c r="P259" s="276" t="str">
        <f>IF(Tableau3384[[#This Row],[Date du paiement]]="",$B$4-Tableau3384[[#This Row],[Écheance]],"")</f>
        <v/>
      </c>
      <c r="Q259" s="168" t="str">
        <f>IF(Tableau3384[[#This Row],[Date du paiement]]="",IF(Tableau3384[[#This Row],[jours jusqu''à l''écheance]]&gt;0,Tableau3384[[#This Row],[Montant
CHF]],""),"")</f>
        <v/>
      </c>
      <c r="R259" s="298" t="str">
        <f>IF(Tableau3384[[#This Row],[Date du paiement]]="",IF(Tableau3384[[#This Row],[jours jusqu''à l''écheance]]-($B$4-$B$11-1)&gt;0,Tableau3384[[#This Row],[Montant
CHF]],""),"")</f>
        <v/>
      </c>
      <c r="S259" s="142"/>
      <c r="T259" s="95" t="str">
        <f>IF(Tableau3384[[#This Row],[Paiements prevus]]="oui",Tableau3384[[#This Row],[Montant prevu à payer CH]],"")</f>
        <v/>
      </c>
      <c r="U259" s="129"/>
      <c r="V259" s="73"/>
      <c r="W259" s="68"/>
      <c r="X259" s="23">
        <v>45427</v>
      </c>
      <c r="Y259" s="7" t="s">
        <v>58</v>
      </c>
      <c r="Z259" s="120" t="str">
        <f>IF(Tableau3384[[#This Row],[Méthode du paiement]]="Mastercard","OUI","")</f>
        <v/>
      </c>
      <c r="AA259" s="6" t="s">
        <v>14</v>
      </c>
      <c r="AB259" s="6" t="s">
        <v>493</v>
      </c>
    </row>
    <row r="260" spans="1:28" hidden="1" x14ac:dyDescent="0.25">
      <c r="A260" s="9" t="s">
        <v>56</v>
      </c>
      <c r="B260" s="21">
        <v>45394</v>
      </c>
      <c r="C260" s="21">
        <v>45394</v>
      </c>
      <c r="D260" s="22" t="s">
        <v>57</v>
      </c>
      <c r="E260" s="11">
        <v>532.75</v>
      </c>
      <c r="F260" s="88" t="s">
        <v>0</v>
      </c>
      <c r="G260" s="80"/>
      <c r="H260" s="136">
        <f>Tableau3384[[#This Row],[Montant
CHF]]+Tableau3384[[#This Row],[Abzug/Spesen
CHF]]</f>
        <v>532.75</v>
      </c>
      <c r="I260" s="39"/>
      <c r="J260" s="40"/>
      <c r="K260" s="189"/>
      <c r="L260" s="298"/>
      <c r="M260" s="81"/>
      <c r="N260" s="21">
        <v>45414</v>
      </c>
      <c r="O260" s="282" t="str">
        <f>IF(Tableau3384[[#This Row],[Date du paiement]]&gt;0,"",Tableau3384[[#This Row],[Montant
CHF]])</f>
        <v/>
      </c>
      <c r="P260" s="276" t="str">
        <f>IF(Tableau3384[[#This Row],[Date du paiement]]="",$B$4-Tableau3384[[#This Row],[Écheance]],"")</f>
        <v/>
      </c>
      <c r="Q260" s="168" t="str">
        <f>IF(Tableau3384[[#This Row],[Date du paiement]]="",IF(Tableau3384[[#This Row],[jours jusqu''à l''écheance]]&gt;0,Tableau3384[[#This Row],[Montant
CHF]],""),"")</f>
        <v/>
      </c>
      <c r="R260" s="298" t="str">
        <f>IF(Tableau3384[[#This Row],[Date du paiement]]="",IF(Tableau3384[[#This Row],[jours jusqu''à l''écheance]]-($B$4-$B$11-1)&gt;0,Tableau3384[[#This Row],[Montant
CHF]],""),"")</f>
        <v/>
      </c>
      <c r="S260" s="142"/>
      <c r="T260" s="95" t="str">
        <f>IF(Tableau3384[[#This Row],[Paiements prevus]]="oui",Tableau3384[[#This Row],[Montant prevu à payer CH]],"")</f>
        <v/>
      </c>
      <c r="U260" s="129"/>
      <c r="V260" s="73"/>
      <c r="W260" s="68"/>
      <c r="X260" s="23">
        <v>45414</v>
      </c>
      <c r="Y260" s="7" t="s">
        <v>58</v>
      </c>
      <c r="Z260" s="120" t="str">
        <f>IF(Tableau3384[[#This Row],[Méthode du paiement]]="Mastercard","OUI","")</f>
        <v/>
      </c>
      <c r="AA260" s="6" t="s">
        <v>43</v>
      </c>
      <c r="AB260" s="6" t="s">
        <v>181</v>
      </c>
    </row>
    <row r="261" spans="1:28" hidden="1" x14ac:dyDescent="0.25">
      <c r="A261" s="9" t="s">
        <v>456</v>
      </c>
      <c r="B261" s="21">
        <v>45394</v>
      </c>
      <c r="C261" s="21">
        <v>45394</v>
      </c>
      <c r="D261" s="22" t="s">
        <v>196</v>
      </c>
      <c r="E261" s="11">
        <v>623.79999999999995</v>
      </c>
      <c r="F261" s="88">
        <v>8.1</v>
      </c>
      <c r="G261" s="80"/>
      <c r="H261" s="136">
        <f>Tableau3384[[#This Row],[Montant
CHF]]+Tableau3384[[#This Row],[Abzug/Spesen
CHF]]</f>
        <v>623.79999999999995</v>
      </c>
      <c r="I261" s="39"/>
      <c r="J261" s="40"/>
      <c r="K261" s="189"/>
      <c r="L261" s="298"/>
      <c r="M261" s="81"/>
      <c r="N261" s="21">
        <v>45404</v>
      </c>
      <c r="O261" s="282" t="str">
        <f>IF(Tableau3384[[#This Row],[Date du paiement]]&gt;0,"",Tableau3384[[#This Row],[Montant
CHF]])</f>
        <v/>
      </c>
      <c r="P261" s="276" t="str">
        <f>IF(Tableau3384[[#This Row],[Date du paiement]]="",$B$4-Tableau3384[[#This Row],[Écheance]],"")</f>
        <v/>
      </c>
      <c r="Q261" s="168" t="str">
        <f>IF(Tableau3384[[#This Row],[Date du paiement]]="",IF(Tableau3384[[#This Row],[jours jusqu''à l''écheance]]&gt;0,Tableau3384[[#This Row],[Montant
CHF]],""),"")</f>
        <v/>
      </c>
      <c r="R261" s="298" t="str">
        <f>IF(Tableau3384[[#This Row],[Date du paiement]]="",IF(Tableau3384[[#This Row],[jours jusqu''à l''écheance]]-($B$4-$B$11-1)&gt;0,Tableau3384[[#This Row],[Montant
CHF]],""),"")</f>
        <v/>
      </c>
      <c r="S261" s="142"/>
      <c r="T261" s="95" t="str">
        <f>IF(Tableau3384[[#This Row],[Paiements prevus]]="oui",Tableau3384[[#This Row],[Montant prevu à payer CH]],"")</f>
        <v/>
      </c>
      <c r="U261" s="129"/>
      <c r="V261" s="73"/>
      <c r="W261" s="68"/>
      <c r="X261" s="23">
        <v>45425</v>
      </c>
      <c r="Y261" s="7" t="s">
        <v>58</v>
      </c>
      <c r="Z261" s="120" t="str">
        <f>IF(Tableau3384[[#This Row],[Méthode du paiement]]="Mastercard","OUI","")</f>
        <v/>
      </c>
      <c r="AA261" s="6" t="s">
        <v>4</v>
      </c>
      <c r="AB261" s="6" t="s">
        <v>457</v>
      </c>
    </row>
    <row r="262" spans="1:28" hidden="1" x14ac:dyDescent="0.25">
      <c r="A262" s="9" t="s">
        <v>463</v>
      </c>
      <c r="B262" s="21">
        <v>45394</v>
      </c>
      <c r="C262" s="21">
        <v>45394</v>
      </c>
      <c r="D262" s="22" t="s">
        <v>117</v>
      </c>
      <c r="E262" s="11">
        <f>Tableau3384[[#This Row],[Montant
EUR]]*Tableau3384[[#This Row],[Taux 
de change]]</f>
        <v>3853.3330000000001</v>
      </c>
      <c r="F262" s="88">
        <v>0</v>
      </c>
      <c r="G262" s="80"/>
      <c r="H262" s="136">
        <f>Tableau3384[[#This Row],[Montant
CHF]]+Tableau3384[[#This Row],[Abzug/Spesen
CHF]]</f>
        <v>3853.3330000000001</v>
      </c>
      <c r="I262" s="39">
        <v>0.98450000000000004</v>
      </c>
      <c r="J262" s="40">
        <v>3914</v>
      </c>
      <c r="K262" s="189"/>
      <c r="L262" s="298"/>
      <c r="M262" s="81"/>
      <c r="N262" s="21">
        <v>45424</v>
      </c>
      <c r="O262" s="282" t="str">
        <f>IF(Tableau3384[[#This Row],[Date du paiement]]&gt;0,"",Tableau3384[[#This Row],[Montant
CHF]])</f>
        <v/>
      </c>
      <c r="P262" s="276" t="str">
        <f>IF(Tableau3384[[#This Row],[Date du paiement]]="",$B$4-Tableau3384[[#This Row],[Écheance]],"")</f>
        <v/>
      </c>
      <c r="Q262" s="168" t="str">
        <f>IF(Tableau3384[[#This Row],[Date du paiement]]="",IF(Tableau3384[[#This Row],[jours jusqu''à l''écheance]]&gt;0,Tableau3384[[#This Row],[Montant
CHF]],""),"")</f>
        <v/>
      </c>
      <c r="R262" s="298" t="str">
        <f>IF(Tableau3384[[#This Row],[Date du paiement]]="",IF(Tableau3384[[#This Row],[jours jusqu''à l''écheance]]-($B$4-$B$11-1)&gt;0,Tableau3384[[#This Row],[Montant
CHF]],""),"")</f>
        <v/>
      </c>
      <c r="S262" s="142"/>
      <c r="T262" s="95" t="str">
        <f>IF(Tableau3384[[#This Row],[Paiements prevus]]="oui",Tableau3384[[#This Row],[Montant prevu à payer CH]],"")</f>
        <v/>
      </c>
      <c r="U262" s="129"/>
      <c r="V262" s="73"/>
      <c r="W262" s="68"/>
      <c r="X262" s="23">
        <v>45427</v>
      </c>
      <c r="Y262" s="7" t="s">
        <v>58</v>
      </c>
      <c r="Z262" s="120" t="str">
        <f>IF(Tableau3384[[#This Row],[Méthode du paiement]]="Mastercard","OUI","")</f>
        <v/>
      </c>
      <c r="AA262" s="6" t="s">
        <v>14</v>
      </c>
      <c r="AB262" s="6" t="s">
        <v>464</v>
      </c>
    </row>
    <row r="263" spans="1:28" hidden="1" x14ac:dyDescent="0.25">
      <c r="A263" s="9" t="s">
        <v>465</v>
      </c>
      <c r="B263" s="21">
        <v>45394</v>
      </c>
      <c r="C263" s="21">
        <v>45394</v>
      </c>
      <c r="D263" s="22" t="s">
        <v>117</v>
      </c>
      <c r="E263" s="11">
        <f>Tableau3384[[#This Row],[Montant
EUR]]*Tableau3384[[#This Row],[Taux 
de change]]</f>
        <v>984.5</v>
      </c>
      <c r="F263" s="88">
        <v>0</v>
      </c>
      <c r="G263" s="80"/>
      <c r="H263" s="136">
        <f>Tableau3384[[#This Row],[Montant
CHF]]+Tableau3384[[#This Row],[Abzug/Spesen
CHF]]</f>
        <v>984.5</v>
      </c>
      <c r="I263" s="39">
        <v>0.98450000000000004</v>
      </c>
      <c r="J263" s="40">
        <v>1000</v>
      </c>
      <c r="K263" s="189"/>
      <c r="L263" s="298"/>
      <c r="M263" s="81"/>
      <c r="N263" s="21">
        <v>45424</v>
      </c>
      <c r="O263" s="282" t="str">
        <f>IF(Tableau3384[[#This Row],[Date du paiement]]&gt;0,"",Tableau3384[[#This Row],[Montant
CHF]])</f>
        <v/>
      </c>
      <c r="P263" s="276" t="str">
        <f>IF(Tableau3384[[#This Row],[Date du paiement]]="",$B$4-Tableau3384[[#This Row],[Écheance]],"")</f>
        <v/>
      </c>
      <c r="Q263" s="168" t="str">
        <f>IF(Tableau3384[[#This Row],[Date du paiement]]="",IF(Tableau3384[[#This Row],[jours jusqu''à l''écheance]]&gt;0,Tableau3384[[#This Row],[Montant
CHF]],""),"")</f>
        <v/>
      </c>
      <c r="R263" s="298" t="str">
        <f>IF(Tableau3384[[#This Row],[Date du paiement]]="",IF(Tableau3384[[#This Row],[jours jusqu''à l''écheance]]-($B$4-$B$11-1)&gt;0,Tableau3384[[#This Row],[Montant
CHF]],""),"")</f>
        <v/>
      </c>
      <c r="S263" s="142"/>
      <c r="T263" s="95" t="str">
        <f>IF(Tableau3384[[#This Row],[Paiements prevus]]="oui",Tableau3384[[#This Row],[Montant prevu à payer CH]],"")</f>
        <v/>
      </c>
      <c r="U263" s="129"/>
      <c r="V263" s="73"/>
      <c r="W263" s="68"/>
      <c r="X263" s="23">
        <v>45427</v>
      </c>
      <c r="Y263" s="7" t="s">
        <v>58</v>
      </c>
      <c r="Z263" s="120" t="str">
        <f>IF(Tableau3384[[#This Row],[Méthode du paiement]]="Mastercard","OUI","")</f>
        <v/>
      </c>
      <c r="AA263" s="6" t="s">
        <v>11</v>
      </c>
      <c r="AB263" s="6" t="s">
        <v>464</v>
      </c>
    </row>
    <row r="264" spans="1:28" hidden="1" x14ac:dyDescent="0.25">
      <c r="A264" s="9" t="s">
        <v>470</v>
      </c>
      <c r="B264" s="21">
        <v>45394</v>
      </c>
      <c r="C264" s="21">
        <v>45397</v>
      </c>
      <c r="D264" s="22" t="s">
        <v>35</v>
      </c>
      <c r="E264" s="11">
        <v>4247.6499999999996</v>
      </c>
      <c r="F264" s="88">
        <v>0</v>
      </c>
      <c r="G264" s="80"/>
      <c r="H264" s="136">
        <f>Tableau3384[[#This Row],[Montant
CHF]]+Tableau3384[[#This Row],[Abzug/Spesen
CHF]]</f>
        <v>4247.6499999999996</v>
      </c>
      <c r="I264" s="39"/>
      <c r="J264" s="40"/>
      <c r="K264" s="189"/>
      <c r="L264" s="298"/>
      <c r="M264" s="81" t="s">
        <v>1255</v>
      </c>
      <c r="N264" s="21">
        <v>45422</v>
      </c>
      <c r="O264" s="282" t="str">
        <f>IF(Tableau3384[[#This Row],[Date du paiement]]&gt;0,"",Tableau3384[[#This Row],[Montant
CHF]])</f>
        <v/>
      </c>
      <c r="P264" s="276" t="str">
        <f>IF(Tableau3384[[#This Row],[Date du paiement]]="",$B$4-Tableau3384[[#This Row],[Écheance]],"")</f>
        <v/>
      </c>
      <c r="Q264" s="168" t="str">
        <f>IF(Tableau3384[[#This Row],[Date du paiement]]="",IF(Tableau3384[[#This Row],[jours jusqu''à l''écheance]]&gt;0,Tableau3384[[#This Row],[Montant
CHF]],""),"")</f>
        <v/>
      </c>
      <c r="R264" s="298" t="str">
        <f>IF(Tableau3384[[#This Row],[Date du paiement]]="",IF(Tableau3384[[#This Row],[jours jusqu''à l''écheance]]-($B$4-$B$11-1)&gt;0,Tableau3384[[#This Row],[Montant
CHF]],""),"")</f>
        <v/>
      </c>
      <c r="S264" s="142"/>
      <c r="T264" s="95" t="str">
        <f>IF(Tableau3384[[#This Row],[Paiements prevus]]="oui",Tableau3384[[#This Row],[Montant prevu à payer CH]],"")</f>
        <v/>
      </c>
      <c r="U264" s="129"/>
      <c r="V264" s="73"/>
      <c r="W264" s="68"/>
      <c r="X264" s="23">
        <v>45422</v>
      </c>
      <c r="Y264" s="7" t="s">
        <v>58</v>
      </c>
      <c r="Z264" s="120" t="str">
        <f>IF(Tableau3384[[#This Row],[Méthode du paiement]]="Mastercard","OUI","")</f>
        <v/>
      </c>
      <c r="AA264" s="6" t="s">
        <v>4</v>
      </c>
      <c r="AB264" s="6" t="s">
        <v>473</v>
      </c>
    </row>
    <row r="265" spans="1:28" hidden="1" x14ac:dyDescent="0.25">
      <c r="A265" s="9" t="s">
        <v>474</v>
      </c>
      <c r="B265" s="21">
        <v>45397</v>
      </c>
      <c r="C265" s="21">
        <v>45397</v>
      </c>
      <c r="D265" s="22" t="s">
        <v>253</v>
      </c>
      <c r="E265" s="11">
        <f>Tableau3384[[#This Row],[Montant
EUR]]*Tableau3384[[#This Row],[Taux 
de change]]</f>
        <v>3539.7822225</v>
      </c>
      <c r="F265" s="88">
        <v>0</v>
      </c>
      <c r="G265" s="80">
        <f>-Tableau3384[[#This Row],[Montant
CHF]]*0.01</f>
        <v>-35.397822224999999</v>
      </c>
      <c r="H265" s="136">
        <f>Tableau3384[[#This Row],[Montant
CHF]]+Tableau3384[[#This Row],[Abzug/Spesen
CHF]]</f>
        <v>3504.3844002750002</v>
      </c>
      <c r="I265" s="39">
        <v>0.98417500000000002</v>
      </c>
      <c r="J265" s="40">
        <v>3596.7</v>
      </c>
      <c r="K265" s="189"/>
      <c r="L265" s="298"/>
      <c r="M265" s="81"/>
      <c r="N265" s="21">
        <v>45392</v>
      </c>
      <c r="O265" s="282" t="str">
        <f>IF(Tableau3384[[#This Row],[Date du paiement]]&gt;0,"",Tableau3384[[#This Row],[Montant
CHF]])</f>
        <v/>
      </c>
      <c r="P265" s="276" t="str">
        <f>IF(Tableau3384[[#This Row],[Date du paiement]]="",$B$4-Tableau3384[[#This Row],[Écheance]],"")</f>
        <v/>
      </c>
      <c r="Q265" s="168" t="str">
        <f>IF(Tableau3384[[#This Row],[Date du paiement]]="",IF(Tableau3384[[#This Row],[jours jusqu''à l''écheance]]&gt;0,Tableau3384[[#This Row],[Montant
CHF]],""),"")</f>
        <v/>
      </c>
      <c r="R265" s="298" t="str">
        <f>IF(Tableau3384[[#This Row],[Date du paiement]]="",IF(Tableau3384[[#This Row],[jours jusqu''à l''écheance]]-($B$4-$B$11-1)&gt;0,Tableau3384[[#This Row],[Montant
CHF]],""),"")</f>
        <v/>
      </c>
      <c r="S265" s="142"/>
      <c r="T265" s="95" t="str">
        <f>IF(Tableau3384[[#This Row],[Paiements prevus]]="oui",Tableau3384[[#This Row],[Montant prevu à payer CH]],"")</f>
        <v/>
      </c>
      <c r="U265" s="129"/>
      <c r="V265" s="73"/>
      <c r="W265" s="68"/>
      <c r="X265" s="23">
        <v>45392</v>
      </c>
      <c r="Y265" s="7" t="s">
        <v>58</v>
      </c>
      <c r="Z265" s="120" t="str">
        <f>IF(Tableau3384[[#This Row],[Méthode du paiement]]="Mastercard","OUI","")</f>
        <v/>
      </c>
      <c r="AA265" s="6" t="s">
        <v>14</v>
      </c>
      <c r="AB265" s="180" t="s">
        <v>475</v>
      </c>
    </row>
    <row r="266" spans="1:28" hidden="1" x14ac:dyDescent="0.25">
      <c r="A266" s="9" t="s">
        <v>461</v>
      </c>
      <c r="B266" s="21">
        <v>45397</v>
      </c>
      <c r="C266" s="21">
        <v>45397</v>
      </c>
      <c r="D266" s="22" t="s">
        <v>25</v>
      </c>
      <c r="E266" s="11">
        <v>40</v>
      </c>
      <c r="F266" s="88">
        <v>0</v>
      </c>
      <c r="G266" s="80"/>
      <c r="H266" s="136">
        <f>Tableau3384[[#This Row],[Montant
CHF]]+Tableau3384[[#This Row],[Abzug/Spesen
CHF]]</f>
        <v>40</v>
      </c>
      <c r="I266" s="39"/>
      <c r="J266" s="40"/>
      <c r="K266" s="189"/>
      <c r="L266" s="298"/>
      <c r="M266" s="81"/>
      <c r="N266" s="21">
        <v>45417</v>
      </c>
      <c r="O266" s="282" t="str">
        <f>IF(Tableau3384[[#This Row],[Date du paiement]]&gt;0,"",Tableau3384[[#This Row],[Montant
CHF]])</f>
        <v/>
      </c>
      <c r="P266" s="276" t="str">
        <f>IF(Tableau3384[[#This Row],[Date du paiement]]="",$B$4-Tableau3384[[#This Row],[Écheance]],"")</f>
        <v/>
      </c>
      <c r="Q266" s="168" t="str">
        <f>IF(Tableau3384[[#This Row],[Date du paiement]]="",IF(Tableau3384[[#This Row],[jours jusqu''à l''écheance]]&gt;0,Tableau3384[[#This Row],[Montant
CHF]],""),"")</f>
        <v/>
      </c>
      <c r="R266" s="298" t="str">
        <f>IF(Tableau3384[[#This Row],[Date du paiement]]="",IF(Tableau3384[[#This Row],[jours jusqu''à l''écheance]]-($B$4-$B$11-1)&gt;0,Tableau3384[[#This Row],[Montant
CHF]],""),"")</f>
        <v/>
      </c>
      <c r="S266" s="142"/>
      <c r="T266" s="95" t="str">
        <f>IF(Tableau3384[[#This Row],[Paiements prevus]]="oui",Tableau3384[[#This Row],[Montant prevu à payer CH]],"")</f>
        <v/>
      </c>
      <c r="U266" s="129"/>
      <c r="V266" s="73"/>
      <c r="W266" s="68"/>
      <c r="X266" s="23">
        <v>45428</v>
      </c>
      <c r="Y266" s="7" t="s">
        <v>58</v>
      </c>
      <c r="Z266" s="120" t="str">
        <f>IF(Tableau3384[[#This Row],[Méthode du paiement]]="Mastercard","OUI","")</f>
        <v/>
      </c>
      <c r="AA266" s="6" t="s">
        <v>26</v>
      </c>
      <c r="AB266" s="6" t="s">
        <v>462</v>
      </c>
    </row>
    <row r="267" spans="1:28" hidden="1" x14ac:dyDescent="0.25">
      <c r="A267" s="9" t="s">
        <v>488</v>
      </c>
      <c r="B267" s="21">
        <v>45397</v>
      </c>
      <c r="C267" s="21">
        <v>45397</v>
      </c>
      <c r="D267" s="22" t="s">
        <v>216</v>
      </c>
      <c r="E267" s="11">
        <v>1754.15</v>
      </c>
      <c r="F267" s="88">
        <v>100</v>
      </c>
      <c r="G267" s="80"/>
      <c r="H267" s="136">
        <f>Tableau3384[[#This Row],[Montant
CHF]]+Tableau3384[[#This Row],[Abzug/Spesen
CHF]]</f>
        <v>1754.15</v>
      </c>
      <c r="I267" s="39"/>
      <c r="J267" s="40"/>
      <c r="K267" s="189"/>
      <c r="L267" s="298"/>
      <c r="M267" s="81"/>
      <c r="N267" s="21">
        <v>45457</v>
      </c>
      <c r="O267" s="282" t="str">
        <f>IF(Tableau3384[[#This Row],[Date du paiement]]&gt;0,"",Tableau3384[[#This Row],[Montant
CHF]])</f>
        <v/>
      </c>
      <c r="P267" s="276" t="str">
        <f>IF(Tableau3384[[#This Row],[Date du paiement]]="",$B$4-Tableau3384[[#This Row],[Écheance]],"")</f>
        <v/>
      </c>
      <c r="Q267" s="168" t="str">
        <f>IF(Tableau3384[[#This Row],[Date du paiement]]="",IF(Tableau3384[[#This Row],[jours jusqu''à l''écheance]]&gt;0,Tableau3384[[#This Row],[Montant
CHF]],""),"")</f>
        <v/>
      </c>
      <c r="R267" s="298" t="str">
        <f>IF(Tableau3384[[#This Row],[Date du paiement]]="",IF(Tableau3384[[#This Row],[jours jusqu''à l''écheance]]-($B$4-$B$11-1)&gt;0,Tableau3384[[#This Row],[Montant
CHF]],""),"")</f>
        <v/>
      </c>
      <c r="S267" s="142"/>
      <c r="T267" s="95" t="str">
        <f>IF(Tableau3384[[#This Row],[Paiements prevus]]="oui",Tableau3384[[#This Row],[Montant prevu à payer CH]],"")</f>
        <v/>
      </c>
      <c r="U267" s="129"/>
      <c r="V267" s="73">
        <v>2012.1</v>
      </c>
      <c r="W267" s="68"/>
      <c r="X267" s="23">
        <v>45461</v>
      </c>
      <c r="Y267" s="7" t="s">
        <v>58</v>
      </c>
      <c r="Z267" s="120" t="str">
        <f>IF(Tableau3384[[#This Row],[Méthode du paiement]]="Mastercard","OUI","")</f>
        <v/>
      </c>
      <c r="AA267" s="6" t="s">
        <v>604</v>
      </c>
      <c r="AB267" s="6" t="s">
        <v>427</v>
      </c>
    </row>
    <row r="268" spans="1:28" hidden="1" x14ac:dyDescent="0.25">
      <c r="A268" s="9" t="s">
        <v>478</v>
      </c>
      <c r="B268" s="21">
        <v>45398</v>
      </c>
      <c r="C268" s="21">
        <v>45398</v>
      </c>
      <c r="D268" s="186" t="s">
        <v>25</v>
      </c>
      <c r="E268" s="11">
        <v>40</v>
      </c>
      <c r="F268" s="88">
        <v>0</v>
      </c>
      <c r="G268" s="80"/>
      <c r="H268" s="136">
        <f>Tableau3384[[#This Row],[Montant
CHF]]+Tableau3384[[#This Row],[Abzug/Spesen
CHF]]</f>
        <v>40</v>
      </c>
      <c r="I268" s="39"/>
      <c r="J268" s="40"/>
      <c r="K268" s="189"/>
      <c r="L268" s="298"/>
      <c r="M268" s="81"/>
      <c r="N268" s="21">
        <v>45418</v>
      </c>
      <c r="O268" s="282" t="str">
        <f>IF(Tableau3384[[#This Row],[Date du paiement]]&gt;0,"",Tableau3384[[#This Row],[Montant
CHF]])</f>
        <v/>
      </c>
      <c r="P268" s="276" t="str">
        <f>IF(Tableau3384[[#This Row],[Date du paiement]]="",$B$4-Tableau3384[[#This Row],[Écheance]],"")</f>
        <v/>
      </c>
      <c r="Q268" s="168" t="str">
        <f>IF(Tableau3384[[#This Row],[Date du paiement]]="",IF(Tableau3384[[#This Row],[jours jusqu''à l''écheance]]&gt;0,Tableau3384[[#This Row],[Montant
CHF]],""),"")</f>
        <v/>
      </c>
      <c r="R268" s="298" t="str">
        <f>IF(Tableau3384[[#This Row],[Date du paiement]]="",IF(Tableau3384[[#This Row],[jours jusqu''à l''écheance]]-($B$4-$B$11-1)&gt;0,Tableau3384[[#This Row],[Montant
CHF]],""),"")</f>
        <v/>
      </c>
      <c r="S268" s="142"/>
      <c r="T268" s="95" t="str">
        <f>IF(Tableau3384[[#This Row],[Paiements prevus]]="oui",Tableau3384[[#This Row],[Montant prevu à payer CH]],"")</f>
        <v/>
      </c>
      <c r="U268" s="129"/>
      <c r="V268" s="73"/>
      <c r="W268" s="68"/>
      <c r="X268" s="23">
        <v>45428</v>
      </c>
      <c r="Y268" s="7" t="s">
        <v>58</v>
      </c>
      <c r="Z268" s="120" t="str">
        <f>IF(Tableau3384[[#This Row],[Méthode du paiement]]="Mastercard","OUI","")</f>
        <v/>
      </c>
      <c r="AA268" s="6" t="s">
        <v>26</v>
      </c>
      <c r="AB268" s="6" t="s">
        <v>479</v>
      </c>
    </row>
    <row r="269" spans="1:28" hidden="1" x14ac:dyDescent="0.25">
      <c r="A269" s="9" t="s">
        <v>480</v>
      </c>
      <c r="B269" s="21">
        <v>45398</v>
      </c>
      <c r="C269" s="21">
        <v>45399</v>
      </c>
      <c r="D269" s="22" t="s">
        <v>145</v>
      </c>
      <c r="E269" s="11">
        <v>1423.85</v>
      </c>
      <c r="F269" s="88">
        <v>8.1</v>
      </c>
      <c r="G269" s="80"/>
      <c r="H269" s="136">
        <f>Tableau3384[[#This Row],[Montant
CHF]]+Tableau3384[[#This Row],[Abzug/Spesen
CHF]]</f>
        <v>1423.85</v>
      </c>
      <c r="I269" s="39"/>
      <c r="J269" s="40"/>
      <c r="K269" s="189"/>
      <c r="L269" s="298"/>
      <c r="M269" s="81"/>
      <c r="N269" s="21">
        <v>45428</v>
      </c>
      <c r="O269" s="282" t="str">
        <f>IF(Tableau3384[[#This Row],[Date du paiement]]&gt;0,"",Tableau3384[[#This Row],[Montant
CHF]])</f>
        <v/>
      </c>
      <c r="P269" s="276" t="str">
        <f>IF(Tableau3384[[#This Row],[Date du paiement]]="",$B$4-Tableau3384[[#This Row],[Écheance]],"")</f>
        <v/>
      </c>
      <c r="Q269" s="168" t="str">
        <f>IF(Tableau3384[[#This Row],[Date du paiement]]="",IF(Tableau3384[[#This Row],[jours jusqu''à l''écheance]]&gt;0,Tableau3384[[#This Row],[Montant
CHF]],""),"")</f>
        <v/>
      </c>
      <c r="R269" s="298" t="str">
        <f>IF(Tableau3384[[#This Row],[Date du paiement]]="",IF(Tableau3384[[#This Row],[jours jusqu''à l''écheance]]-($B$4-$B$11-1)&gt;0,Tableau3384[[#This Row],[Montant
CHF]],""),"")</f>
        <v/>
      </c>
      <c r="S269" s="142"/>
      <c r="T269" s="95" t="str">
        <f>IF(Tableau3384[[#This Row],[Paiements prevus]]="oui",Tableau3384[[#This Row],[Montant prevu à payer CH]],"")</f>
        <v/>
      </c>
      <c r="U269" s="129"/>
      <c r="V269" s="73"/>
      <c r="W269" s="68"/>
      <c r="X269" s="23">
        <v>45428</v>
      </c>
      <c r="Y269" s="7" t="s">
        <v>58</v>
      </c>
      <c r="Z269" s="120" t="str">
        <f>IF(Tableau3384[[#This Row],[Méthode du paiement]]="Mastercard","OUI","")</f>
        <v/>
      </c>
      <c r="AA269" s="6" t="s">
        <v>14</v>
      </c>
      <c r="AB269" s="6" t="s">
        <v>481</v>
      </c>
    </row>
    <row r="270" spans="1:28" hidden="1" x14ac:dyDescent="0.25">
      <c r="A270" s="9" t="s">
        <v>494</v>
      </c>
      <c r="B270" s="21">
        <v>45399</v>
      </c>
      <c r="C270" s="21">
        <v>45399</v>
      </c>
      <c r="D270" s="22" t="s">
        <v>196</v>
      </c>
      <c r="E270" s="11">
        <v>215</v>
      </c>
      <c r="F270" s="88">
        <v>8.1</v>
      </c>
      <c r="G270" s="80"/>
      <c r="H270" s="136">
        <f>Tableau3384[[#This Row],[Montant
CHF]]+Tableau3384[[#This Row],[Abzug/Spesen
CHF]]</f>
        <v>215</v>
      </c>
      <c r="I270" s="39"/>
      <c r="J270" s="40"/>
      <c r="K270" s="189"/>
      <c r="L270" s="298"/>
      <c r="M270" s="81"/>
      <c r="N270" s="21">
        <v>45409</v>
      </c>
      <c r="O270" s="282" t="str">
        <f>IF(Tableau3384[[#This Row],[Date du paiement]]&gt;0,"",Tableau3384[[#This Row],[Montant
CHF]])</f>
        <v/>
      </c>
      <c r="P270" s="276" t="str">
        <f>IF(Tableau3384[[#This Row],[Date du paiement]]="",$B$4-Tableau3384[[#This Row],[Écheance]],"")</f>
        <v/>
      </c>
      <c r="Q270" s="168" t="str">
        <f>IF(Tableau3384[[#This Row],[Date du paiement]]="",IF(Tableau3384[[#This Row],[jours jusqu''à l''écheance]]&gt;0,Tableau3384[[#This Row],[Montant
CHF]],""),"")</f>
        <v/>
      </c>
      <c r="R270" s="298" t="str">
        <f>IF(Tableau3384[[#This Row],[Date du paiement]]="",IF(Tableau3384[[#This Row],[jours jusqu''à l''écheance]]-($B$4-$B$11-1)&gt;0,Tableau3384[[#This Row],[Montant
CHF]],""),"")</f>
        <v/>
      </c>
      <c r="S270" s="142"/>
      <c r="T270" s="95" t="str">
        <f>IF(Tableau3384[[#This Row],[Paiements prevus]]="oui",Tableau3384[[#This Row],[Montant prevu à payer CH]],"")</f>
        <v/>
      </c>
      <c r="U270" s="129"/>
      <c r="V270" s="73"/>
      <c r="W270" s="68"/>
      <c r="X270" s="23">
        <v>45429</v>
      </c>
      <c r="Y270" s="7" t="s">
        <v>58</v>
      </c>
      <c r="Z270" s="120" t="str">
        <f>IF(Tableau3384[[#This Row],[Méthode du paiement]]="Mastercard","OUI","")</f>
        <v/>
      </c>
      <c r="AA270" s="6" t="s">
        <v>4</v>
      </c>
      <c r="AB270" s="6" t="s">
        <v>495</v>
      </c>
    </row>
    <row r="271" spans="1:28" hidden="1" x14ac:dyDescent="0.25">
      <c r="A271" s="9" t="s">
        <v>577</v>
      </c>
      <c r="B271" s="21">
        <v>45399</v>
      </c>
      <c r="C271" s="21">
        <v>45399</v>
      </c>
      <c r="D271" s="22" t="s">
        <v>499</v>
      </c>
      <c r="E271" s="11">
        <v>458.5</v>
      </c>
      <c r="F271" s="88">
        <v>8.1</v>
      </c>
      <c r="G271" s="80"/>
      <c r="H271" s="136">
        <f>Tableau3384[[#This Row],[Montant
CHF]]+Tableau3384[[#This Row],[Abzug/Spesen
CHF]]</f>
        <v>458.5</v>
      </c>
      <c r="I271" s="39"/>
      <c r="J271" s="40"/>
      <c r="K271" s="189"/>
      <c r="L271" s="298"/>
      <c r="M271" s="81"/>
      <c r="N271" s="21">
        <v>45429</v>
      </c>
      <c r="O271" s="282" t="str">
        <f>IF(Tableau3384[[#This Row],[Date du paiement]]&gt;0,"",Tableau3384[[#This Row],[Montant
CHF]])</f>
        <v/>
      </c>
      <c r="P271" s="276" t="str">
        <f>IF(Tableau3384[[#This Row],[Date du paiement]]="",$B$4-Tableau3384[[#This Row],[Écheance]],"")</f>
        <v/>
      </c>
      <c r="Q271" s="168" t="str">
        <f>IF(Tableau3384[[#This Row],[Date du paiement]]="",IF(Tableau3384[[#This Row],[jours jusqu''à l''écheance]]&gt;0,Tableau3384[[#This Row],[Montant
CHF]],""),"")</f>
        <v/>
      </c>
      <c r="R271" s="298" t="str">
        <f>IF(Tableau3384[[#This Row],[Date du paiement]]="",IF(Tableau3384[[#This Row],[jours jusqu''à l''écheance]]-($B$4-$B$11-1)&gt;0,Tableau3384[[#This Row],[Montant
CHF]],""),"")</f>
        <v/>
      </c>
      <c r="S271" s="142"/>
      <c r="T271" s="95" t="str">
        <f>IF(Tableau3384[[#This Row],[Paiements prevus]]="oui",Tableau3384[[#This Row],[Montant prevu à payer CH]],"")</f>
        <v/>
      </c>
      <c r="U271" s="129"/>
      <c r="V271" s="73"/>
      <c r="W271" s="68"/>
      <c r="X271" s="23">
        <v>45429</v>
      </c>
      <c r="Y271" s="7" t="s">
        <v>58</v>
      </c>
      <c r="Z271" s="120" t="str">
        <f>IF(Tableau3384[[#This Row],[Méthode du paiement]]="Mastercard","OUI","")</f>
        <v/>
      </c>
      <c r="AA271" s="6" t="s">
        <v>14</v>
      </c>
      <c r="AB271" s="6" t="s">
        <v>578</v>
      </c>
    </row>
    <row r="272" spans="1:28" hidden="1" x14ac:dyDescent="0.25">
      <c r="A272" s="9" t="s">
        <v>489</v>
      </c>
      <c r="B272" s="21">
        <v>45399</v>
      </c>
      <c r="C272" s="21">
        <v>45399</v>
      </c>
      <c r="D272" s="22" t="s">
        <v>216</v>
      </c>
      <c r="E272" s="11">
        <v>1273.95</v>
      </c>
      <c r="F272" s="88">
        <v>100</v>
      </c>
      <c r="G272" s="80"/>
      <c r="H272" s="136">
        <f>Tableau3384[[#This Row],[Montant
CHF]]+Tableau3384[[#This Row],[Abzug/Spesen
CHF]]</f>
        <v>1273.95</v>
      </c>
      <c r="I272" s="39"/>
      <c r="J272" s="40"/>
      <c r="K272" s="189"/>
      <c r="L272" s="298"/>
      <c r="M272" s="81"/>
      <c r="N272" s="21">
        <v>45460</v>
      </c>
      <c r="O272" s="282" t="str">
        <f>IF(Tableau3384[[#This Row],[Date du paiement]]&gt;0,"",Tableau3384[[#This Row],[Montant
CHF]])</f>
        <v/>
      </c>
      <c r="P272" s="276" t="str">
        <f>IF(Tableau3384[[#This Row],[Date du paiement]]="",$B$4-Tableau3384[[#This Row],[Écheance]],"")</f>
        <v/>
      </c>
      <c r="Q272" s="168" t="str">
        <f>IF(Tableau3384[[#This Row],[Date du paiement]]="",IF(Tableau3384[[#This Row],[jours jusqu''à l''écheance]]&gt;0,Tableau3384[[#This Row],[Montant
CHF]],""),"")</f>
        <v/>
      </c>
      <c r="R272" s="298" t="str">
        <f>IF(Tableau3384[[#This Row],[Date du paiement]]="",IF(Tableau3384[[#This Row],[jours jusqu''à l''écheance]]-($B$4-$B$11-1)&gt;0,Tableau3384[[#This Row],[Montant
CHF]],""),"")</f>
        <v/>
      </c>
      <c r="S272" s="142"/>
      <c r="T272" s="95" t="str">
        <f>IF(Tableau3384[[#This Row],[Paiements prevus]]="oui",Tableau3384[[#This Row],[Montant prevu à payer CH]],"")</f>
        <v/>
      </c>
      <c r="U272" s="129"/>
      <c r="V272" s="73">
        <v>2012.1</v>
      </c>
      <c r="W272" s="68"/>
      <c r="X272" s="23">
        <v>45461</v>
      </c>
      <c r="Y272" s="7" t="s">
        <v>58</v>
      </c>
      <c r="Z272" s="120" t="str">
        <f>IF(Tableau3384[[#This Row],[Méthode du paiement]]="Mastercard","OUI","")</f>
        <v/>
      </c>
      <c r="AA272" s="6" t="s">
        <v>604</v>
      </c>
      <c r="AB272" s="6" t="s">
        <v>445</v>
      </c>
    </row>
    <row r="273" spans="1:28" hidden="1" x14ac:dyDescent="0.25">
      <c r="A273" s="9" t="s">
        <v>482</v>
      </c>
      <c r="B273" s="21">
        <v>45399</v>
      </c>
      <c r="C273" s="21">
        <v>45400</v>
      </c>
      <c r="D273" s="22" t="s">
        <v>400</v>
      </c>
      <c r="E273" s="11">
        <v>67.64</v>
      </c>
      <c r="F273" s="88" t="s">
        <v>0</v>
      </c>
      <c r="G273" s="80"/>
      <c r="H273" s="136">
        <f>Tableau3384[[#This Row],[Montant
CHF]]+Tableau3384[[#This Row],[Abzug/Spesen
CHF]]</f>
        <v>67.64</v>
      </c>
      <c r="I273" s="39"/>
      <c r="J273" s="40"/>
      <c r="K273" s="189"/>
      <c r="L273" s="298"/>
      <c r="M273" s="81" t="s">
        <v>483</v>
      </c>
      <c r="N273" s="21">
        <v>45406</v>
      </c>
      <c r="O273" s="282" t="str">
        <f>IF(Tableau3384[[#This Row],[Date du paiement]]&gt;0,"",Tableau3384[[#This Row],[Montant
CHF]])</f>
        <v/>
      </c>
      <c r="P273" s="276" t="str">
        <f>IF(Tableau3384[[#This Row],[Date du paiement]]="",$B$4-Tableau3384[[#This Row],[Écheance]],"")</f>
        <v/>
      </c>
      <c r="Q273" s="168" t="str">
        <f>IF(Tableau3384[[#This Row],[Date du paiement]]="",IF(Tableau3384[[#This Row],[jours jusqu''à l''écheance]]&gt;0,Tableau3384[[#This Row],[Montant
CHF]],""),"")</f>
        <v/>
      </c>
      <c r="R273" s="298" t="str">
        <f>IF(Tableau3384[[#This Row],[Date du paiement]]="",IF(Tableau3384[[#This Row],[jours jusqu''à l''écheance]]-($B$4-$B$11-1)&gt;0,Tableau3384[[#This Row],[Montant
CHF]],""),"")</f>
        <v/>
      </c>
      <c r="S273" s="142"/>
      <c r="T273" s="95" t="str">
        <f>IF(Tableau3384[[#This Row],[Paiements prevus]]="oui",Tableau3384[[#This Row],[Montant prevu à payer CH]],"")</f>
        <v/>
      </c>
      <c r="U273" s="129"/>
      <c r="V273" s="73"/>
      <c r="W273" s="68"/>
      <c r="X273" s="23">
        <v>45429</v>
      </c>
      <c r="Y273" s="7" t="s">
        <v>58</v>
      </c>
      <c r="Z273" s="120" t="str">
        <f>IF(Tableau3384[[#This Row],[Méthode du paiement]]="Mastercard","OUI","")</f>
        <v/>
      </c>
      <c r="AA273" s="6" t="s">
        <v>11</v>
      </c>
      <c r="AB273" s="6" t="s">
        <v>401</v>
      </c>
    </row>
    <row r="274" spans="1:28" hidden="1" x14ac:dyDescent="0.25">
      <c r="A274" s="9" t="s">
        <v>575</v>
      </c>
      <c r="B274" s="21">
        <v>45404</v>
      </c>
      <c r="C274" s="21">
        <v>45404</v>
      </c>
      <c r="D274" s="186" t="s">
        <v>60</v>
      </c>
      <c r="E274" s="11">
        <f>Tableau3384[[#This Row],[Montant
EUR]]*Tableau3384[[#This Row],[Taux 
de change]]</f>
        <v>3263.1686999999997</v>
      </c>
      <c r="F274" s="88">
        <v>0</v>
      </c>
      <c r="G274" s="80"/>
      <c r="H274" s="136">
        <f>Tableau3384[[#This Row],[Montant
CHF]]+Tableau3384[[#This Row],[Abzug/Spesen
CHF]]</f>
        <v>3263.1686999999997</v>
      </c>
      <c r="I274" s="39">
        <v>0.96772499999999995</v>
      </c>
      <c r="J274" s="40">
        <v>3372</v>
      </c>
      <c r="K274" s="189"/>
      <c r="L274" s="298"/>
      <c r="M274" s="81"/>
      <c r="N274" s="21">
        <v>45434</v>
      </c>
      <c r="O274" s="282" t="str">
        <f>IF(Tableau3384[[#This Row],[Date du paiement]]&gt;0,"",Tableau3384[[#This Row],[Montant
CHF]])</f>
        <v/>
      </c>
      <c r="P274" s="276" t="str">
        <f>IF(Tableau3384[[#This Row],[Date du paiement]]="",$B$4-Tableau3384[[#This Row],[Écheance]],"")</f>
        <v/>
      </c>
      <c r="Q274" s="168" t="str">
        <f>IF(Tableau3384[[#This Row],[Date du paiement]]="",IF(Tableau3384[[#This Row],[jours jusqu''à l''écheance]]&gt;0,Tableau3384[[#This Row],[Montant
CHF]],""),"")</f>
        <v/>
      </c>
      <c r="R274" s="298" t="str">
        <f>IF(Tableau3384[[#This Row],[Date du paiement]]="",IF(Tableau3384[[#This Row],[jours jusqu''à l''écheance]]-($B$4-$B$11-1)&gt;0,Tableau3384[[#This Row],[Montant
CHF]],""),"")</f>
        <v/>
      </c>
      <c r="S274" s="142"/>
      <c r="T274" s="95" t="str">
        <f>IF(Tableau3384[[#This Row],[Paiements prevus]]="oui",Tableau3384[[#This Row],[Montant prevu à payer CH]],"")</f>
        <v/>
      </c>
      <c r="U274" s="129"/>
      <c r="V274" s="73"/>
      <c r="W274" s="68"/>
      <c r="X274" s="23">
        <v>45453</v>
      </c>
      <c r="Y274" s="7" t="s">
        <v>58</v>
      </c>
      <c r="Z274" s="120" t="str">
        <f>IF(Tableau3384[[#This Row],[Méthode du paiement]]="Mastercard","OUI","")</f>
        <v/>
      </c>
      <c r="AA274" s="6" t="s">
        <v>14</v>
      </c>
      <c r="AB274" s="6" t="s">
        <v>576</v>
      </c>
    </row>
    <row r="275" spans="1:28" hidden="1" x14ac:dyDescent="0.25">
      <c r="A275" s="9" t="s">
        <v>490</v>
      </c>
      <c r="B275" s="21">
        <v>45404</v>
      </c>
      <c r="C275" s="21">
        <v>45404</v>
      </c>
      <c r="D275" s="22" t="s">
        <v>216</v>
      </c>
      <c r="E275" s="11">
        <v>5279.6</v>
      </c>
      <c r="F275" s="88">
        <v>100</v>
      </c>
      <c r="G275" s="80"/>
      <c r="H275" s="136">
        <f>Tableau3384[[#This Row],[Montant
CHF]]+Tableau3384[[#This Row],[Abzug/Spesen
CHF]]</f>
        <v>5279.6</v>
      </c>
      <c r="I275" s="39"/>
      <c r="J275" s="40"/>
      <c r="K275" s="189"/>
      <c r="L275" s="298"/>
      <c r="M275" s="81"/>
      <c r="N275" s="21">
        <v>45464</v>
      </c>
      <c r="O275" s="282" t="str">
        <f>IF(Tableau3384[[#This Row],[Date du paiement]]&gt;0,"",Tableau3384[[#This Row],[Montant
CHF]])</f>
        <v/>
      </c>
      <c r="P275" s="276" t="str">
        <f>IF(Tableau3384[[#This Row],[Date du paiement]]="",$B$4-Tableau3384[[#This Row],[Écheance]],"")</f>
        <v/>
      </c>
      <c r="Q275" s="168" t="str">
        <f>IF(Tableau3384[[#This Row],[Date du paiement]]="",IF(Tableau3384[[#This Row],[jours jusqu''à l''écheance]]&gt;0,Tableau3384[[#This Row],[Montant
CHF]],""),"")</f>
        <v/>
      </c>
      <c r="R275" s="298" t="str">
        <f>IF(Tableau3384[[#This Row],[Date du paiement]]="",IF(Tableau3384[[#This Row],[jours jusqu''à l''écheance]]-($B$4-$B$11-1)&gt;0,Tableau3384[[#This Row],[Montant
CHF]],""),"")</f>
        <v/>
      </c>
      <c r="S275" s="142"/>
      <c r="T275" s="95" t="str">
        <f>IF(Tableau3384[[#This Row],[Paiements prevus]]="oui",Tableau3384[[#This Row],[Montant prevu à payer CH]],"")</f>
        <v/>
      </c>
      <c r="U275" s="129"/>
      <c r="V275" s="73">
        <v>2012.1</v>
      </c>
      <c r="W275" s="68"/>
      <c r="X275" s="23">
        <v>45475</v>
      </c>
      <c r="Y275" s="7" t="s">
        <v>58</v>
      </c>
      <c r="Z275" s="120" t="str">
        <f>IF(Tableau3384[[#This Row],[Méthode du paiement]]="Mastercard","OUI","")</f>
        <v/>
      </c>
      <c r="AA275" s="6" t="s">
        <v>604</v>
      </c>
      <c r="AB275" s="6" t="s">
        <v>491</v>
      </c>
    </row>
    <row r="276" spans="1:28" hidden="1" x14ac:dyDescent="0.25">
      <c r="A276" s="9" t="s">
        <v>511</v>
      </c>
      <c r="B276" s="21">
        <v>45406</v>
      </c>
      <c r="C276" s="21">
        <v>45406</v>
      </c>
      <c r="D276" s="186" t="s">
        <v>196</v>
      </c>
      <c r="E276" s="11">
        <v>2243.6999999999998</v>
      </c>
      <c r="F276" s="88">
        <v>8.1</v>
      </c>
      <c r="G276" s="80"/>
      <c r="H276" s="136">
        <f>Tableau3384[[#This Row],[Montant
CHF]]+Tableau3384[[#This Row],[Abzug/Spesen
CHF]]</f>
        <v>2243.6999999999998</v>
      </c>
      <c r="I276" s="39"/>
      <c r="J276" s="40"/>
      <c r="K276" s="189"/>
      <c r="L276" s="298"/>
      <c r="M276" s="81"/>
      <c r="N276" s="21">
        <v>45416</v>
      </c>
      <c r="O276" s="282" t="str">
        <f>IF(Tableau3384[[#This Row],[Date du paiement]]&gt;0,"",Tableau3384[[#This Row],[Montant
CHF]])</f>
        <v/>
      </c>
      <c r="P276" s="276" t="str">
        <f>IF(Tableau3384[[#This Row],[Date du paiement]]="",$B$4-Tableau3384[[#This Row],[Écheance]],"")</f>
        <v/>
      </c>
      <c r="Q276" s="168" t="str">
        <f>IF(Tableau3384[[#This Row],[Date du paiement]]="",IF(Tableau3384[[#This Row],[jours jusqu''à l''écheance]]&gt;0,Tableau3384[[#This Row],[Montant
CHF]],""),"")</f>
        <v/>
      </c>
      <c r="R276" s="298" t="str">
        <f>IF(Tableau3384[[#This Row],[Date du paiement]]="",IF(Tableau3384[[#This Row],[jours jusqu''à l''écheance]]-($B$4-$B$11-1)&gt;0,Tableau3384[[#This Row],[Montant
CHF]],""),"")</f>
        <v/>
      </c>
      <c r="S276" s="142"/>
      <c r="T276" s="95" t="str">
        <f>IF(Tableau3384[[#This Row],[Paiements prevus]]="oui",Tableau3384[[#This Row],[Montant prevu à payer CH]],"")</f>
        <v/>
      </c>
      <c r="U276" s="176"/>
      <c r="V276" s="73"/>
      <c r="W276" s="68"/>
      <c r="X276" s="23">
        <v>45436</v>
      </c>
      <c r="Y276" s="7" t="s">
        <v>58</v>
      </c>
      <c r="Z276" s="120" t="str">
        <f>IF(Tableau3384[[#This Row],[Méthode du paiement]]="Mastercard","OUI","")</f>
        <v/>
      </c>
      <c r="AA276" s="6" t="s">
        <v>4</v>
      </c>
      <c r="AB276" s="6" t="s">
        <v>512</v>
      </c>
    </row>
    <row r="277" spans="1:28" hidden="1" x14ac:dyDescent="0.25">
      <c r="A277" s="9" t="s">
        <v>496</v>
      </c>
      <c r="B277" s="21">
        <v>45406</v>
      </c>
      <c r="C277" s="21">
        <v>45406</v>
      </c>
      <c r="D277" s="22" t="s">
        <v>25</v>
      </c>
      <c r="E277" s="11">
        <v>40</v>
      </c>
      <c r="F277" s="88">
        <v>0</v>
      </c>
      <c r="G277" s="80"/>
      <c r="H277" s="136">
        <f>Tableau3384[[#This Row],[Montant
CHF]]+Tableau3384[[#This Row],[Abzug/Spesen
CHF]]</f>
        <v>40</v>
      </c>
      <c r="I277" s="39"/>
      <c r="J277" s="40"/>
      <c r="K277" s="189"/>
      <c r="L277" s="298"/>
      <c r="M277" s="81"/>
      <c r="N277" s="21">
        <v>45426</v>
      </c>
      <c r="O277" s="282" t="str">
        <f>IF(Tableau3384[[#This Row],[Date du paiement]]&gt;0,"",Tableau3384[[#This Row],[Montant
CHF]])</f>
        <v/>
      </c>
      <c r="P277" s="276" t="str">
        <f>IF(Tableau3384[[#This Row],[Date du paiement]]="",$B$4-Tableau3384[[#This Row],[Écheance]],"")</f>
        <v/>
      </c>
      <c r="Q277" s="168" t="str">
        <f>IF(Tableau3384[[#This Row],[Date du paiement]]="",IF(Tableau3384[[#This Row],[jours jusqu''à l''écheance]]&gt;0,Tableau3384[[#This Row],[Montant
CHF]],""),"")</f>
        <v/>
      </c>
      <c r="R277" s="298" t="str">
        <f>IF(Tableau3384[[#This Row],[Date du paiement]]="",IF(Tableau3384[[#This Row],[jours jusqu''à l''écheance]]-($B$4-$B$11-1)&gt;0,Tableau3384[[#This Row],[Montant
CHF]],""),"")</f>
        <v/>
      </c>
      <c r="S277" s="142"/>
      <c r="T277" s="95" t="str">
        <f>IF(Tableau3384[[#This Row],[Paiements prevus]]="oui",Tableau3384[[#This Row],[Montant prevu à payer CH]],"")</f>
        <v/>
      </c>
      <c r="U277" s="129"/>
      <c r="V277" s="73"/>
      <c r="W277" s="68"/>
      <c r="X277" s="23">
        <v>45436</v>
      </c>
      <c r="Y277" s="7" t="s">
        <v>58</v>
      </c>
      <c r="Z277" s="120" t="str">
        <f>IF(Tableau3384[[#This Row],[Méthode du paiement]]="Mastercard","OUI","")</f>
        <v/>
      </c>
      <c r="AA277" s="6" t="s">
        <v>26</v>
      </c>
      <c r="AB277" s="6" t="s">
        <v>497</v>
      </c>
    </row>
    <row r="278" spans="1:28" hidden="1" x14ac:dyDescent="0.25">
      <c r="A278" s="9" t="s">
        <v>558</v>
      </c>
      <c r="B278" s="21">
        <v>45406</v>
      </c>
      <c r="C278" s="21">
        <v>45420</v>
      </c>
      <c r="D278" s="22" t="s">
        <v>104</v>
      </c>
      <c r="E278" s="11">
        <v>319.7</v>
      </c>
      <c r="F278" s="88">
        <v>8.1</v>
      </c>
      <c r="G278" s="80"/>
      <c r="H278" s="136">
        <f>Tableau3384[[#This Row],[Montant
CHF]]+Tableau3384[[#This Row],[Abzug/Spesen
CHF]]</f>
        <v>319.7</v>
      </c>
      <c r="I278" s="39"/>
      <c r="J278" s="40"/>
      <c r="K278" s="189"/>
      <c r="L278" s="298"/>
      <c r="M278" s="81"/>
      <c r="N278" s="21">
        <v>45406</v>
      </c>
      <c r="O278" s="282" t="str">
        <f>IF(Tableau3384[[#This Row],[Date du paiement]]&gt;0,"",Tableau3384[[#This Row],[Montant
CHF]])</f>
        <v/>
      </c>
      <c r="P278" s="276" t="str">
        <f>IF(Tableau3384[[#This Row],[Date du paiement]]="",$B$4-Tableau3384[[#This Row],[Écheance]],"")</f>
        <v/>
      </c>
      <c r="Q278" s="168" t="str">
        <f>IF(Tableau3384[[#This Row],[Date du paiement]]="",IF(Tableau3384[[#This Row],[jours jusqu''à l''écheance]]&gt;0,Tableau3384[[#This Row],[Montant
CHF]],""),"")</f>
        <v/>
      </c>
      <c r="R278" s="298" t="str">
        <f>IF(Tableau3384[[#This Row],[Date du paiement]]="",IF(Tableau3384[[#This Row],[jours jusqu''à l''écheance]]-($B$4-$B$11-1)&gt;0,Tableau3384[[#This Row],[Montant
CHF]],""),"")</f>
        <v/>
      </c>
      <c r="S278" s="142"/>
      <c r="T278" s="95" t="str">
        <f>IF(Tableau3384[[#This Row],[Paiements prevus]]="oui",Tableau3384[[#This Row],[Montant prevu à payer CH]],"")</f>
        <v/>
      </c>
      <c r="U278" s="129"/>
      <c r="V278" s="73"/>
      <c r="W278" s="68"/>
      <c r="X278" s="23">
        <v>45406</v>
      </c>
      <c r="Y278" s="7" t="s">
        <v>58</v>
      </c>
      <c r="Z278" s="120" t="str">
        <f>IF(Tableau3384[[#This Row],[Méthode du paiement]]="Mastercard","OUI","")</f>
        <v/>
      </c>
      <c r="AA278" s="6" t="s">
        <v>14</v>
      </c>
      <c r="AB278" s="6" t="s">
        <v>559</v>
      </c>
    </row>
    <row r="279" spans="1:28" hidden="1" x14ac:dyDescent="0.25">
      <c r="A279" s="9" t="s">
        <v>509</v>
      </c>
      <c r="B279" s="21">
        <v>45407</v>
      </c>
      <c r="C279" s="21">
        <v>45407</v>
      </c>
      <c r="D279" s="22" t="s">
        <v>29</v>
      </c>
      <c r="E279" s="11">
        <v>47</v>
      </c>
      <c r="F279" s="88">
        <v>8.1</v>
      </c>
      <c r="G279" s="80"/>
      <c r="H279" s="136">
        <f>Tableau3384[[#This Row],[Montant
CHF]]+Tableau3384[[#This Row],[Abzug/Spesen
CHF]]</f>
        <v>47</v>
      </c>
      <c r="I279" s="39"/>
      <c r="J279" s="40"/>
      <c r="K279" s="189"/>
      <c r="L279" s="298"/>
      <c r="M279" s="81"/>
      <c r="N279" s="21">
        <v>45417</v>
      </c>
      <c r="O279" s="282" t="str">
        <f>IF(Tableau3384[[#This Row],[Date du paiement]]&gt;0,"",Tableau3384[[#This Row],[Montant
CHF]])</f>
        <v/>
      </c>
      <c r="P279" s="276" t="str">
        <f>IF(Tableau3384[[#This Row],[Date du paiement]]="",$B$4-Tableau3384[[#This Row],[Écheance]],"")</f>
        <v/>
      </c>
      <c r="Q279" s="168" t="str">
        <f>IF(Tableau3384[[#This Row],[Date du paiement]]="",IF(Tableau3384[[#This Row],[jours jusqu''à l''écheance]]&gt;0,Tableau3384[[#This Row],[Montant
CHF]],""),"")</f>
        <v/>
      </c>
      <c r="R279" s="298" t="str">
        <f>IF(Tableau3384[[#This Row],[Date du paiement]]="",IF(Tableau3384[[#This Row],[jours jusqu''à l''écheance]]-($B$4-$B$11-1)&gt;0,Tableau3384[[#This Row],[Montant
CHF]],""),"")</f>
        <v/>
      </c>
      <c r="S279" s="142"/>
      <c r="T279" s="95" t="str">
        <f>IF(Tableau3384[[#This Row],[Paiements prevus]]="oui",Tableau3384[[#This Row],[Montant prevu à payer CH]],"")</f>
        <v/>
      </c>
      <c r="U279" s="129"/>
      <c r="V279" s="73"/>
      <c r="W279" s="68"/>
      <c r="X279" s="23">
        <v>45436</v>
      </c>
      <c r="Y279" s="7" t="s">
        <v>58</v>
      </c>
      <c r="Z279" s="120" t="str">
        <f>IF(Tableau3384[[#This Row],[Méthode du paiement]]="Mastercard","OUI","")</f>
        <v/>
      </c>
      <c r="AA279" s="6" t="s">
        <v>30</v>
      </c>
      <c r="AB279" s="6" t="s">
        <v>510</v>
      </c>
    </row>
    <row r="280" spans="1:28" hidden="1" x14ac:dyDescent="0.25">
      <c r="A280" s="9" t="s">
        <v>498</v>
      </c>
      <c r="B280" s="21">
        <v>45407</v>
      </c>
      <c r="C280" s="21">
        <v>45408</v>
      </c>
      <c r="D280" s="22" t="s">
        <v>499</v>
      </c>
      <c r="E280" s="11">
        <v>864.8</v>
      </c>
      <c r="F280" s="88">
        <v>8.1</v>
      </c>
      <c r="G280" s="80"/>
      <c r="H280" s="136">
        <f>Tableau3384[[#This Row],[Montant
CHF]]+Tableau3384[[#This Row],[Abzug/Spesen
CHF]]</f>
        <v>864.8</v>
      </c>
      <c r="I280" s="39"/>
      <c r="J280" s="40"/>
      <c r="K280" s="189"/>
      <c r="L280" s="298"/>
      <c r="M280" s="81"/>
      <c r="N280" s="21">
        <v>45437</v>
      </c>
      <c r="O280" s="282" t="str">
        <f>IF(Tableau3384[[#This Row],[Date du paiement]]&gt;0,"",Tableau3384[[#This Row],[Montant
CHF]])</f>
        <v/>
      </c>
      <c r="P280" s="276" t="str">
        <f>IF(Tableau3384[[#This Row],[Date du paiement]]="",$B$4-Tableau3384[[#This Row],[Écheance]],"")</f>
        <v/>
      </c>
      <c r="Q280" s="168" t="str">
        <f>IF(Tableau3384[[#This Row],[Date du paiement]]="",IF(Tableau3384[[#This Row],[jours jusqu''à l''écheance]]&gt;0,Tableau3384[[#This Row],[Montant
CHF]],""),"")</f>
        <v/>
      </c>
      <c r="R280" s="298" t="str">
        <f>IF(Tableau3384[[#This Row],[Date du paiement]]="",IF(Tableau3384[[#This Row],[jours jusqu''à l''écheance]]-($B$4-$B$11-1)&gt;0,Tableau3384[[#This Row],[Montant
CHF]],""),"")</f>
        <v/>
      </c>
      <c r="S280" s="142"/>
      <c r="T280" s="95" t="str">
        <f>IF(Tableau3384[[#This Row],[Paiements prevus]]="oui",Tableau3384[[#This Row],[Montant prevu à payer CH]],"")</f>
        <v/>
      </c>
      <c r="U280" s="129"/>
      <c r="V280" s="73"/>
      <c r="W280" s="68"/>
      <c r="X280" s="23">
        <v>45436</v>
      </c>
      <c r="Y280" s="7" t="s">
        <v>58</v>
      </c>
      <c r="Z280" s="120" t="str">
        <f>IF(Tableau3384[[#This Row],[Méthode du paiement]]="Mastercard","OUI","")</f>
        <v/>
      </c>
      <c r="AA280" s="6" t="s">
        <v>14</v>
      </c>
      <c r="AB280" s="6" t="s">
        <v>500</v>
      </c>
    </row>
    <row r="281" spans="1:28" hidden="1" x14ac:dyDescent="0.25">
      <c r="A281" s="9" t="s">
        <v>813</v>
      </c>
      <c r="B281" s="21">
        <v>45407</v>
      </c>
      <c r="C281" s="21">
        <v>45463</v>
      </c>
      <c r="D281" s="22" t="s">
        <v>169</v>
      </c>
      <c r="E281" s="11">
        <v>190</v>
      </c>
      <c r="F281" s="88">
        <v>0</v>
      </c>
      <c r="G281" s="80"/>
      <c r="H281" s="136">
        <f>Tableau3384[[#This Row],[Montant
CHF]]+Tableau3384[[#This Row],[Abzug/Spesen
CHF]]</f>
        <v>190</v>
      </c>
      <c r="I281" s="39"/>
      <c r="J281" s="40"/>
      <c r="K281" s="189"/>
      <c r="L281" s="298"/>
      <c r="M281" s="81"/>
      <c r="N281" s="21">
        <v>45437</v>
      </c>
      <c r="O281" s="282" t="str">
        <f>IF(Tableau3384[[#This Row],[Date du paiement]]&gt;0,"",Tableau3384[[#This Row],[Montant
CHF]])</f>
        <v/>
      </c>
      <c r="P281" s="287" t="str">
        <f>IF(Tableau3384[[#This Row],[Date du paiement]]="",$B$4-Tableau3384[[#This Row],[Écheance]],"")</f>
        <v/>
      </c>
      <c r="Q281" s="168" t="str">
        <f>IF(Tableau3384[[#This Row],[Date du paiement]]="",IF(Tableau3384[[#This Row],[jours jusqu''à l''écheance]]&gt;0,Tableau3384[[#This Row],[Montant
CHF]],""),"")</f>
        <v/>
      </c>
      <c r="R281" s="298" t="str">
        <f>IF(Tableau3384[[#This Row],[Date du paiement]]="",IF(Tableau3384[[#This Row],[jours jusqu''à l''écheance]]&gt;0,Tableau3384[[#This Row],[Montant
CHF]],""),"")</f>
        <v/>
      </c>
      <c r="S281" s="142"/>
      <c r="T281" s="95" t="str">
        <f>IF(Tableau3384[[#This Row],[Paiements prevus]]="oui",Tableau3384[[#This Row],[Montant prevu à payer CH]],"")</f>
        <v/>
      </c>
      <c r="U281" s="177"/>
      <c r="V281" s="73" t="s">
        <v>735</v>
      </c>
      <c r="W281" s="68"/>
      <c r="X281" s="23">
        <v>45469</v>
      </c>
      <c r="Y281" s="7" t="s">
        <v>58</v>
      </c>
      <c r="Z281" s="120" t="str">
        <f>IF(Tableau3384[[#This Row],[Méthode du paiement]]="Mastercard","OUI","")</f>
        <v/>
      </c>
      <c r="AA281" s="6" t="s">
        <v>43</v>
      </c>
      <c r="AB281" s="6" t="s">
        <v>195</v>
      </c>
    </row>
    <row r="282" spans="1:28" hidden="1" x14ac:dyDescent="0.25">
      <c r="A282" s="9" t="s">
        <v>514</v>
      </c>
      <c r="B282" s="21">
        <v>45408</v>
      </c>
      <c r="C282" s="21">
        <v>45408</v>
      </c>
      <c r="D282" s="22" t="s">
        <v>501</v>
      </c>
      <c r="E282" s="11">
        <v>0</v>
      </c>
      <c r="F282" s="88">
        <v>0</v>
      </c>
      <c r="G282" s="80"/>
      <c r="H282" s="136">
        <f>Tableau3384[[#This Row],[Montant
CHF]]+Tableau3384[[#This Row],[Abzug/Spesen
CHF]]</f>
        <v>0</v>
      </c>
      <c r="I282" s="39"/>
      <c r="J282" s="40"/>
      <c r="K282" s="189"/>
      <c r="L282" s="298"/>
      <c r="M282" s="81"/>
      <c r="N282" s="21">
        <v>45408</v>
      </c>
      <c r="O282" s="282" t="str">
        <f>IF(Tableau3384[[#This Row],[Date du paiement]]&gt;0,"",Tableau3384[[#This Row],[Montant
CHF]])</f>
        <v/>
      </c>
      <c r="P282" s="276" t="str">
        <f>IF(Tableau3384[[#This Row],[Date du paiement]]="",$B$4-Tableau3384[[#This Row],[Écheance]],"")</f>
        <v/>
      </c>
      <c r="Q282" s="168" t="str">
        <f>IF(Tableau3384[[#This Row],[Date du paiement]]="",IF(Tableau3384[[#This Row],[jours jusqu''à l''écheance]]&gt;0,Tableau3384[[#This Row],[Montant
CHF]],""),"")</f>
        <v/>
      </c>
      <c r="R282" s="298" t="str">
        <f>IF(Tableau3384[[#This Row],[Date du paiement]]="",IF(Tableau3384[[#This Row],[jours jusqu''à l''écheance]]-($B$4-$B$11-1)&gt;0,Tableau3384[[#This Row],[Montant
CHF]],""),"")</f>
        <v/>
      </c>
      <c r="S282" s="142"/>
      <c r="T282" s="95" t="str">
        <f>IF(Tableau3384[[#This Row],[Paiements prevus]]="oui",Tableau3384[[#This Row],[Montant prevu à payer CH]],"")</f>
        <v/>
      </c>
      <c r="U282" s="176"/>
      <c r="V282" s="73"/>
      <c r="W282" s="68"/>
      <c r="X282" s="23">
        <v>45408</v>
      </c>
      <c r="Y282" s="7" t="s">
        <v>502</v>
      </c>
      <c r="Z282" s="120" t="str">
        <f>IF(Tableau3384[[#This Row],[Méthode du paiement]]="Mastercard","OUI","")</f>
        <v/>
      </c>
      <c r="AA282" s="6" t="s">
        <v>14</v>
      </c>
      <c r="AB282" s="25"/>
    </row>
    <row r="283" spans="1:28" hidden="1" x14ac:dyDescent="0.25">
      <c r="A283" s="9" t="s">
        <v>513</v>
      </c>
      <c r="B283" s="21">
        <v>45411</v>
      </c>
      <c r="C283" s="21">
        <v>45411</v>
      </c>
      <c r="D283" s="22" t="s">
        <v>216</v>
      </c>
      <c r="E283" s="11">
        <v>271.89999999999998</v>
      </c>
      <c r="F283" s="88">
        <v>100</v>
      </c>
      <c r="G283" s="80"/>
      <c r="H283" s="136">
        <f>Tableau3384[[#This Row],[Montant
CHF]]+Tableau3384[[#This Row],[Abzug/Spesen
CHF]]</f>
        <v>271.89999999999998</v>
      </c>
      <c r="I283" s="39"/>
      <c r="J283" s="40"/>
      <c r="K283" s="189"/>
      <c r="L283" s="298"/>
      <c r="M283" s="81"/>
      <c r="N283" s="21">
        <v>45471</v>
      </c>
      <c r="O283" s="282" t="str">
        <f>IF(Tableau3384[[#This Row],[Date du paiement]]&gt;0,"",Tableau3384[[#This Row],[Montant
CHF]])</f>
        <v/>
      </c>
      <c r="P283" s="276" t="str">
        <f>IF(Tableau3384[[#This Row],[Date du paiement]]="",$B$4-Tableau3384[[#This Row],[Écheance]],"")</f>
        <v/>
      </c>
      <c r="Q283" s="168" t="str">
        <f>IF(Tableau3384[[#This Row],[Date du paiement]]="",IF(Tableau3384[[#This Row],[jours jusqu''à l''écheance]]&gt;0,Tableau3384[[#This Row],[Montant
CHF]],""),"")</f>
        <v/>
      </c>
      <c r="R283" s="298" t="str">
        <f>IF(Tableau3384[[#This Row],[Date du paiement]]="",IF(Tableau3384[[#This Row],[jours jusqu''à l''écheance]]-($B$4-$B$11-1)&gt;0,Tableau3384[[#This Row],[Montant
CHF]],""),"")</f>
        <v/>
      </c>
      <c r="S283" s="142"/>
      <c r="T283" s="95" t="str">
        <f>IF(Tableau3384[[#This Row],[Paiements prevus]]="oui",Tableau3384[[#This Row],[Montant prevu à payer CH]],"")</f>
        <v/>
      </c>
      <c r="U283" s="129"/>
      <c r="V283" s="73">
        <v>2012.1</v>
      </c>
      <c r="W283" s="68"/>
      <c r="X283" s="23">
        <v>45481</v>
      </c>
      <c r="Y283" s="7" t="s">
        <v>58</v>
      </c>
      <c r="Z283" s="120" t="str">
        <f>IF(Tableau3384[[#This Row],[Méthode du paiement]]="Mastercard","OUI","")</f>
        <v/>
      </c>
      <c r="AA283" s="6" t="s">
        <v>604</v>
      </c>
      <c r="AB283" s="180" t="s">
        <v>605</v>
      </c>
    </row>
    <row r="284" spans="1:28" hidden="1" x14ac:dyDescent="0.25">
      <c r="A284" s="9" t="s">
        <v>521</v>
      </c>
      <c r="B284" s="21">
        <v>45411</v>
      </c>
      <c r="C284" s="21">
        <v>45418</v>
      </c>
      <c r="D284" s="22" t="s">
        <v>101</v>
      </c>
      <c r="E284" s="11">
        <v>109.93</v>
      </c>
      <c r="F284" s="88">
        <v>8.1</v>
      </c>
      <c r="G284" s="80"/>
      <c r="H284" s="136">
        <f>Tableau3384[[#This Row],[Montant
CHF]]+Tableau3384[[#This Row],[Abzug/Spesen
CHF]]</f>
        <v>109.93</v>
      </c>
      <c r="I284" s="39"/>
      <c r="J284" s="189"/>
      <c r="K284" s="189"/>
      <c r="L284" s="298"/>
      <c r="M284" s="81"/>
      <c r="N284" s="21">
        <v>45441</v>
      </c>
      <c r="O284" s="282" t="str">
        <f>IF(Tableau3384[[#This Row],[Date du paiement]]&gt;0,"",Tableau3384[[#This Row],[Montant
CHF]])</f>
        <v/>
      </c>
      <c r="P284" s="276" t="str">
        <f>IF(Tableau3384[[#This Row],[Date du paiement]]="",$B$4-Tableau3384[[#This Row],[Écheance]],"")</f>
        <v/>
      </c>
      <c r="Q284" s="168" t="str">
        <f>IF(Tableau3384[[#This Row],[Date du paiement]]="",IF(Tableau3384[[#This Row],[jours jusqu''à l''écheance]]&gt;0,Tableau3384[[#This Row],[Montant
CHF]],""),"")</f>
        <v/>
      </c>
      <c r="R284" s="298" t="str">
        <f>IF(Tableau3384[[#This Row],[Date du paiement]]="",IF(Tableau3384[[#This Row],[jours jusqu''à l''écheance]]-($B$4-$B$11-1)&gt;0,Tableau3384[[#This Row],[Montant
CHF]],""),"")</f>
        <v/>
      </c>
      <c r="S284" s="142"/>
      <c r="T284" s="95" t="str">
        <f>IF(Tableau3384[[#This Row],[Paiements prevus]]="oui",Tableau3384[[#This Row],[Montant prevu à payer CH]],"")</f>
        <v/>
      </c>
      <c r="U284" s="176"/>
      <c r="V284" s="73"/>
      <c r="W284" s="68"/>
      <c r="X284" s="23">
        <v>45441</v>
      </c>
      <c r="Y284" s="7" t="s">
        <v>58</v>
      </c>
      <c r="Z284" s="120" t="str">
        <f>IF(Tableau3384[[#This Row],[Méthode du paiement]]="Mastercard","OUI","")</f>
        <v/>
      </c>
      <c r="AA284" s="6" t="s">
        <v>102</v>
      </c>
      <c r="AB284" s="6" t="s">
        <v>195</v>
      </c>
    </row>
    <row r="285" spans="1:28" hidden="1" x14ac:dyDescent="0.25">
      <c r="A285" s="9" t="s">
        <v>532</v>
      </c>
      <c r="B285" s="21">
        <v>45411</v>
      </c>
      <c r="C285" s="21">
        <v>45418</v>
      </c>
      <c r="D285" s="22" t="s">
        <v>13</v>
      </c>
      <c r="E285" s="11">
        <f>Tableau3384[[#This Row],[Montant
EUR]]*Tableau3384[[#This Row],[Taux 
de change]]</f>
        <v>26761.880959999999</v>
      </c>
      <c r="F285" s="88">
        <v>0</v>
      </c>
      <c r="G285" s="80"/>
      <c r="H285" s="136">
        <f>Tableau3384[[#This Row],[Montant
CHF]]+Tableau3384[[#This Row],[Abzug/Spesen
CHF]]</f>
        <v>26761.880959999999</v>
      </c>
      <c r="I285" s="39">
        <v>0.97599999999999998</v>
      </c>
      <c r="J285" s="40">
        <v>27419.96</v>
      </c>
      <c r="K285" s="189"/>
      <c r="L285" s="359"/>
      <c r="M285" s="81"/>
      <c r="N285" s="21">
        <v>45472</v>
      </c>
      <c r="O285" s="282" t="str">
        <f>IF(Tableau3384[[#This Row],[Date du paiement]]&gt;0,"",Tableau3384[[#This Row],[Montant
CHF]])</f>
        <v/>
      </c>
      <c r="P285" s="276" t="str">
        <f>IF(Tableau3384[[#This Row],[Date du paiement]]="",$B$4-Tableau3384[[#This Row],[Écheance]],"")</f>
        <v/>
      </c>
      <c r="Q285" s="168" t="str">
        <f>IF(Tableau3384[[#This Row],[Date du paiement]]="",IF(Tableau3384[[#This Row],[jours jusqu''à l''écheance]]&gt;0,Tableau3384[[#This Row],[Montant
CHF]],""),"")</f>
        <v/>
      </c>
      <c r="R285" s="298" t="str">
        <f>IF(Tableau3384[[#This Row],[Date du paiement]]="",IF(Tableau3384[[#This Row],[jours jusqu''à l''écheance]]-($B$4-$B$11-1)&gt;0,Tableau3384[[#This Row],[Montant
CHF]],""),"")</f>
        <v/>
      </c>
      <c r="S285" s="142"/>
      <c r="T285" s="95" t="str">
        <f>IF(Tableau3384[[#This Row],[Paiements prevus]]="oui",Tableau3384[[#This Row],[Montant prevu à payer CH]],"")</f>
        <v/>
      </c>
      <c r="U285" s="176"/>
      <c r="V285" s="73">
        <v>2002</v>
      </c>
      <c r="W285" s="68"/>
      <c r="X285" s="187">
        <v>45476</v>
      </c>
      <c r="Y285" s="181" t="s">
        <v>58</v>
      </c>
      <c r="Z285" s="120" t="str">
        <f>IF(Tableau3384[[#This Row],[Méthode du paiement]]="Mastercard","OUI","")</f>
        <v/>
      </c>
      <c r="AA285" s="6" t="s">
        <v>14</v>
      </c>
      <c r="AB285" s="6" t="s">
        <v>533</v>
      </c>
    </row>
    <row r="286" spans="1:28" hidden="1" x14ac:dyDescent="0.25">
      <c r="A286" s="9" t="s">
        <v>644</v>
      </c>
      <c r="B286" s="21">
        <v>45412</v>
      </c>
      <c r="C286" s="21">
        <v>45412</v>
      </c>
      <c r="D286" s="186" t="s">
        <v>120</v>
      </c>
      <c r="E286" s="11">
        <v>600</v>
      </c>
      <c r="F286" s="88">
        <v>0</v>
      </c>
      <c r="G286" s="80"/>
      <c r="H286" s="136">
        <f>Tableau3384[[#This Row],[Montant
CHF]]+Tableau3384[[#This Row],[Abzug/Spesen
CHF]]</f>
        <v>600</v>
      </c>
      <c r="I286" s="39"/>
      <c r="J286" s="40"/>
      <c r="K286" s="189"/>
      <c r="L286" s="298"/>
      <c r="M286" s="81"/>
      <c r="N286" s="21">
        <v>45442</v>
      </c>
      <c r="O286" s="282" t="str">
        <f>IF(Tableau3384[[#This Row],[Date du paiement]]&gt;0,"",Tableau3384[[#This Row],[Montant
CHF]])</f>
        <v/>
      </c>
      <c r="P286" s="276" t="str">
        <f>IF(Tableau3384[[#This Row],[Date du paiement]]="",$B$4-Tableau3384[[#This Row],[Écheance]],"")</f>
        <v/>
      </c>
      <c r="Q286" s="168" t="str">
        <f>IF(Tableau3384[[#This Row],[Date du paiement]]="",IF(Tableau3384[[#This Row],[jours jusqu''à l''écheance]]&gt;0,Tableau3384[[#This Row],[Montant
CHF]],""),"")</f>
        <v/>
      </c>
      <c r="R286" s="298" t="str">
        <f>IF(Tableau3384[[#This Row],[Date du paiement]]="",IF(Tableau3384[[#This Row],[jours jusqu''à l''écheance]]-($B$4-$B$11-1)&gt;0,Tableau3384[[#This Row],[Montant
CHF]],""),"")</f>
        <v/>
      </c>
      <c r="S286" s="142"/>
      <c r="T286" s="95" t="str">
        <f>IF(Tableau3384[[#This Row],[Paiements prevus]]="oui",Tableau3384[[#This Row],[Montant prevu à payer CH]],"")</f>
        <v/>
      </c>
      <c r="U286" s="177"/>
      <c r="V286" s="73"/>
      <c r="W286" s="68"/>
      <c r="X286" s="23">
        <v>45449</v>
      </c>
      <c r="Y286" s="7" t="s">
        <v>58</v>
      </c>
      <c r="Z286" s="120" t="str">
        <f>IF(Tableau3384[[#This Row],[Méthode du paiement]]="Mastercard","OUI","")</f>
        <v/>
      </c>
      <c r="AA286" s="6" t="s">
        <v>43</v>
      </c>
      <c r="AB286" s="6" t="s">
        <v>195</v>
      </c>
    </row>
    <row r="287" spans="1:28" hidden="1" x14ac:dyDescent="0.25">
      <c r="A287" s="9" t="s">
        <v>538</v>
      </c>
      <c r="B287" s="21">
        <v>45412</v>
      </c>
      <c r="C287" s="21">
        <v>45412</v>
      </c>
      <c r="D287" s="22" t="s">
        <v>171</v>
      </c>
      <c r="E287" s="11">
        <v>2302.27</v>
      </c>
      <c r="F287" s="88">
        <v>8.1</v>
      </c>
      <c r="G287" s="80"/>
      <c r="H287" s="136">
        <f>Tableau3384[[#This Row],[Montant
CHF]]+Tableau3384[[#This Row],[Abzug/Spesen
CHF]]</f>
        <v>2302.27</v>
      </c>
      <c r="I287" s="39"/>
      <c r="J287" s="40"/>
      <c r="K287" s="189"/>
      <c r="L287" s="298"/>
      <c r="M287" s="81" t="s">
        <v>540</v>
      </c>
      <c r="N287" s="21">
        <v>45473</v>
      </c>
      <c r="O287" s="282" t="str">
        <f>IF(Tableau3384[[#This Row],[Date du paiement]]&gt;0,"",Tableau3384[[#This Row],[Montant
CHF]])</f>
        <v/>
      </c>
      <c r="P287" s="276" t="str">
        <f>IF(Tableau3384[[#This Row],[Date du paiement]]="",$B$4-Tableau3384[[#This Row],[Écheance]],"")</f>
        <v/>
      </c>
      <c r="Q287" s="168" t="str">
        <f>IF(Tableau3384[[#This Row],[Date du paiement]]="",IF(Tableau3384[[#This Row],[jours jusqu''à l''écheance]]&gt;0,Tableau3384[[#This Row],[Montant
CHF]],""),"")</f>
        <v/>
      </c>
      <c r="R287" s="298" t="str">
        <f>IF(Tableau3384[[#This Row],[Date du paiement]]="",IF(Tableau3384[[#This Row],[jours jusqu''à l''écheance]]-($B$4-$B$11-1)&gt;0,Tableau3384[[#This Row],[Montant
CHF]],""),"")</f>
        <v/>
      </c>
      <c r="S287" s="142"/>
      <c r="T287" s="95" t="str">
        <f>IF(Tableau3384[[#This Row],[Paiements prevus]]="oui",Tableau3384[[#This Row],[Montant prevu à payer CH]],"")</f>
        <v/>
      </c>
      <c r="U287" s="129"/>
      <c r="V287" s="73" t="s">
        <v>735</v>
      </c>
      <c r="W287" s="68"/>
      <c r="X287" s="23">
        <v>45483</v>
      </c>
      <c r="Y287" s="7" t="s">
        <v>58</v>
      </c>
      <c r="Z287" s="120" t="str">
        <f>IF(Tableau3384[[#This Row],[Méthode du paiement]]="Mastercard","OUI","")</f>
        <v/>
      </c>
      <c r="AA287" s="6" t="s">
        <v>4</v>
      </c>
      <c r="AB287" s="6" t="s">
        <v>539</v>
      </c>
    </row>
    <row r="288" spans="1:28" hidden="1" x14ac:dyDescent="0.25">
      <c r="A288" s="9" t="s">
        <v>524</v>
      </c>
      <c r="B288" s="21">
        <v>45412</v>
      </c>
      <c r="C288" s="21">
        <v>45418</v>
      </c>
      <c r="D288" s="22" t="s">
        <v>117</v>
      </c>
      <c r="E288" s="11">
        <f>Tableau3384[[#This Row],[Montant
EUR]]*Tableau3384[[#This Row],[Taux 
de change]]</f>
        <v>0</v>
      </c>
      <c r="F288" s="88">
        <v>0</v>
      </c>
      <c r="G288" s="80"/>
      <c r="H288" s="136">
        <f>Tableau3384[[#This Row],[Montant
CHF]]+Tableau3384[[#This Row],[Abzug/Spesen
CHF]]</f>
        <v>0</v>
      </c>
      <c r="I288" s="39">
        <v>1</v>
      </c>
      <c r="J288" s="40">
        <v>0</v>
      </c>
      <c r="K288" s="189"/>
      <c r="L288" s="298"/>
      <c r="M288" s="81"/>
      <c r="N288" s="21">
        <v>45442</v>
      </c>
      <c r="O288" s="282" t="str">
        <f>IF(Tableau3384[[#This Row],[Date du paiement]]&gt;0,"",Tableau3384[[#This Row],[Montant
CHF]])</f>
        <v/>
      </c>
      <c r="P288" s="276" t="str">
        <f>IF(Tableau3384[[#This Row],[Date du paiement]]="",$B$4-Tableau3384[[#This Row],[Écheance]],"")</f>
        <v/>
      </c>
      <c r="Q288" s="168" t="str">
        <f>IF(Tableau3384[[#This Row],[Date du paiement]]="",IF(Tableau3384[[#This Row],[jours jusqu''à l''écheance]]&gt;0,Tableau3384[[#This Row],[Montant
CHF]],""),"")</f>
        <v/>
      </c>
      <c r="R288" s="298" t="str">
        <f>IF(Tableau3384[[#This Row],[Date du paiement]]="",IF(Tableau3384[[#This Row],[jours jusqu''à l''écheance]]-($B$4-$B$11-1)&gt;0,Tableau3384[[#This Row],[Montant
CHF]],""),"")</f>
        <v/>
      </c>
      <c r="S288" s="142"/>
      <c r="T288" s="95" t="str">
        <f>IF(Tableau3384[[#This Row],[Paiements prevus]]="oui",Tableau3384[[#This Row],[Montant prevu à payer CH]],"")</f>
        <v/>
      </c>
      <c r="U288" s="129"/>
      <c r="V288" s="73"/>
      <c r="W288" s="68"/>
      <c r="X288" s="23">
        <v>45412</v>
      </c>
      <c r="Y288" s="7" t="s">
        <v>502</v>
      </c>
      <c r="Z288" s="120" t="str">
        <f>IF(Tableau3384[[#This Row],[Méthode du paiement]]="Mastercard","OUI","")</f>
        <v/>
      </c>
      <c r="AA288" s="6" t="s">
        <v>14</v>
      </c>
      <c r="AB288" s="6" t="s">
        <v>525</v>
      </c>
    </row>
    <row r="289" spans="1:35" hidden="1" x14ac:dyDescent="0.25">
      <c r="A289" s="9" t="s">
        <v>534</v>
      </c>
      <c r="B289" s="21">
        <v>45412</v>
      </c>
      <c r="C289" s="21">
        <v>45418</v>
      </c>
      <c r="D289" s="22" t="s">
        <v>94</v>
      </c>
      <c r="E289" s="11">
        <v>266.41000000000003</v>
      </c>
      <c r="F289" s="88">
        <v>8.1</v>
      </c>
      <c r="G289" s="80"/>
      <c r="H289" s="136">
        <f>Tableau3384[[#This Row],[Montant
CHF]]+Tableau3384[[#This Row],[Abzug/Spesen
CHF]]</f>
        <v>266.41000000000003</v>
      </c>
      <c r="I289" s="39"/>
      <c r="J289" s="40"/>
      <c r="K289" s="189"/>
      <c r="L289" s="298"/>
      <c r="M289" s="81"/>
      <c r="N289" s="21">
        <v>45443</v>
      </c>
      <c r="O289" s="282" t="str">
        <f>IF(Tableau3384[[#This Row],[Date du paiement]]&gt;0,"",Tableau3384[[#This Row],[Montant
CHF]])</f>
        <v/>
      </c>
      <c r="P289" s="276" t="str">
        <f>IF(Tableau3384[[#This Row],[Date du paiement]]="",$B$4-Tableau3384[[#This Row],[Écheance]],"")</f>
        <v/>
      </c>
      <c r="Q289" s="168" t="str">
        <f>IF(Tableau3384[[#This Row],[Date du paiement]]="",IF(Tableau3384[[#This Row],[jours jusqu''à l''écheance]]&gt;0,Tableau3384[[#This Row],[Montant
CHF]],""),"")</f>
        <v/>
      </c>
      <c r="R289" s="298" t="str">
        <f>IF(Tableau3384[[#This Row],[Date du paiement]]="",IF(Tableau3384[[#This Row],[jours jusqu''à l''écheance]]-($B$4-$B$11-1)&gt;0,Tableau3384[[#This Row],[Montant
CHF]],""),"")</f>
        <v/>
      </c>
      <c r="S289" s="142"/>
      <c r="T289" s="95" t="str">
        <f>IF(Tableau3384[[#This Row],[Paiements prevus]]="oui",Tableau3384[[#This Row],[Montant prevu à payer CH]],"")</f>
        <v/>
      </c>
      <c r="U289" s="129"/>
      <c r="V289" s="73"/>
      <c r="W289" s="68"/>
      <c r="X289" s="23">
        <v>45446</v>
      </c>
      <c r="Y289" s="7" t="s">
        <v>58</v>
      </c>
      <c r="Z289" s="120" t="str">
        <f>IF(Tableau3384[[#This Row],[Méthode du paiement]]="Mastercard","OUI","")</f>
        <v/>
      </c>
      <c r="AA289" s="6" t="s">
        <v>96</v>
      </c>
      <c r="AB289" s="6" t="s">
        <v>535</v>
      </c>
    </row>
    <row r="290" spans="1:35" hidden="1" x14ac:dyDescent="0.25">
      <c r="A290" s="9" t="s">
        <v>526</v>
      </c>
      <c r="B290" s="21">
        <v>45412</v>
      </c>
      <c r="C290" s="21">
        <v>45418</v>
      </c>
      <c r="D290" s="22" t="s">
        <v>117</v>
      </c>
      <c r="E290" s="11">
        <f>Tableau3384[[#This Row],[Montant
EUR]]*Tableau3384[[#This Row],[Taux 
de change]]</f>
        <v>311.62976000000003</v>
      </c>
      <c r="F290" s="88">
        <v>0</v>
      </c>
      <c r="G290" s="80"/>
      <c r="H290" s="136">
        <f>Tableau3384[[#This Row],[Montant
CHF]]+Tableau3384[[#This Row],[Abzug/Spesen
CHF]]</f>
        <v>311.62976000000003</v>
      </c>
      <c r="I290" s="39">
        <v>0.97384300000000001</v>
      </c>
      <c r="J290" s="40">
        <v>320</v>
      </c>
      <c r="K290" s="189"/>
      <c r="L290" s="298"/>
      <c r="M290" s="81"/>
      <c r="N290" s="21">
        <v>45442</v>
      </c>
      <c r="O290" s="282" t="str">
        <f>IF(Tableau3384[[#This Row],[Date du paiement]]&gt;0,"",Tableau3384[[#This Row],[Montant
CHF]])</f>
        <v/>
      </c>
      <c r="P290" s="276" t="str">
        <f>IF(Tableau3384[[#This Row],[Date du paiement]]="",$B$4-Tableau3384[[#This Row],[Écheance]],"")</f>
        <v/>
      </c>
      <c r="Q290" s="168" t="str">
        <f>IF(Tableau3384[[#This Row],[Date du paiement]]="",IF(Tableau3384[[#This Row],[jours jusqu''à l''écheance]]&gt;0,Tableau3384[[#This Row],[Montant
CHF]],""),"")</f>
        <v/>
      </c>
      <c r="R290" s="298" t="str">
        <f>IF(Tableau3384[[#This Row],[Date du paiement]]="",IF(Tableau3384[[#This Row],[jours jusqu''à l''écheance]]-($B$4-$B$11-1)&gt;0,Tableau3384[[#This Row],[Montant
CHF]],""),"")</f>
        <v/>
      </c>
      <c r="S290" s="142"/>
      <c r="T290" s="95" t="str">
        <f>IF(Tableau3384[[#This Row],[Paiements prevus]]="oui",Tableau3384[[#This Row],[Montant prevu à payer CH]],"")</f>
        <v/>
      </c>
      <c r="U290" s="129"/>
      <c r="V290" s="73"/>
      <c r="W290" s="68"/>
      <c r="X290" s="23">
        <v>45449</v>
      </c>
      <c r="Y290" s="7" t="s">
        <v>58</v>
      </c>
      <c r="Z290" s="120" t="str">
        <f>IF(Tableau3384[[#This Row],[Méthode du paiement]]="Mastercard","OUI","")</f>
        <v/>
      </c>
      <c r="AA290" s="6" t="s">
        <v>11</v>
      </c>
      <c r="AB290" s="6" t="s">
        <v>527</v>
      </c>
    </row>
    <row r="291" spans="1:35" hidden="1" x14ac:dyDescent="0.25">
      <c r="A291" s="9" t="s">
        <v>522</v>
      </c>
      <c r="B291" s="21">
        <v>45412</v>
      </c>
      <c r="C291" s="21">
        <v>45418</v>
      </c>
      <c r="D291" s="22" t="s">
        <v>117</v>
      </c>
      <c r="E291" s="11">
        <f>Tableau3384[[#This Row],[Montant
EUR]]*Tableau3384[[#This Row],[Taux 
de change]]</f>
        <v>479.13075600000002</v>
      </c>
      <c r="F291" s="88">
        <v>0</v>
      </c>
      <c r="G291" s="80"/>
      <c r="H291" s="136">
        <f>Tableau3384[[#This Row],[Montant
CHF]]+Tableau3384[[#This Row],[Abzug/Spesen
CHF]]</f>
        <v>479.13075600000002</v>
      </c>
      <c r="I291" s="39">
        <v>0.97384300000000001</v>
      </c>
      <c r="J291" s="40">
        <v>492</v>
      </c>
      <c r="K291" s="189"/>
      <c r="L291" s="298"/>
      <c r="M291" s="81"/>
      <c r="N291" s="21">
        <v>45442</v>
      </c>
      <c r="O291" s="282" t="str">
        <f>IF(Tableau3384[[#This Row],[Date du paiement]]&gt;0,"",Tableau3384[[#This Row],[Montant
CHF]])</f>
        <v/>
      </c>
      <c r="P291" s="276" t="str">
        <f>IF(Tableau3384[[#This Row],[Date du paiement]]="",$B$4-Tableau3384[[#This Row],[Écheance]],"")</f>
        <v/>
      </c>
      <c r="Q291" s="168" t="str">
        <f>IF(Tableau3384[[#This Row],[Date du paiement]]="",IF(Tableau3384[[#This Row],[jours jusqu''à l''écheance]]&gt;0,Tableau3384[[#This Row],[Montant
CHF]],""),"")</f>
        <v/>
      </c>
      <c r="R291" s="298" t="str">
        <f>IF(Tableau3384[[#This Row],[Date du paiement]]="",IF(Tableau3384[[#This Row],[jours jusqu''à l''écheance]]-($B$4-$B$11-1)&gt;0,Tableau3384[[#This Row],[Montant
CHF]],""),"")</f>
        <v/>
      </c>
      <c r="S291" s="142"/>
      <c r="T291" s="95" t="str">
        <f>IF(Tableau3384[[#This Row],[Paiements prevus]]="oui",Tableau3384[[#This Row],[Montant prevu à payer CH]],"")</f>
        <v/>
      </c>
      <c r="U291" s="129"/>
      <c r="V291" s="73"/>
      <c r="W291" s="68"/>
      <c r="X291" s="23">
        <v>45449</v>
      </c>
      <c r="Y291" s="7" t="s">
        <v>58</v>
      </c>
      <c r="Z291" s="120" t="str">
        <f>IF(Tableau3384[[#This Row],[Méthode du paiement]]="Mastercard","OUI","")</f>
        <v/>
      </c>
      <c r="AA291" s="6" t="s">
        <v>14</v>
      </c>
      <c r="AB291" s="6" t="s">
        <v>523</v>
      </c>
    </row>
    <row r="292" spans="1:35" hidden="1" x14ac:dyDescent="0.25">
      <c r="A292" s="9" t="s">
        <v>549</v>
      </c>
      <c r="B292" s="21">
        <v>45412</v>
      </c>
      <c r="C292" s="21">
        <v>45419</v>
      </c>
      <c r="D292" s="22" t="s">
        <v>452</v>
      </c>
      <c r="E292" s="11">
        <v>1764.6</v>
      </c>
      <c r="F292" s="88">
        <v>8.1</v>
      </c>
      <c r="G292" s="80"/>
      <c r="H292" s="136">
        <f>Tableau3384[[#This Row],[Montant
CHF]]+Tableau3384[[#This Row],[Abzug/Spesen
CHF]]</f>
        <v>1764.6</v>
      </c>
      <c r="I292" s="39"/>
      <c r="J292" s="40"/>
      <c r="K292" s="189"/>
      <c r="L292" s="298"/>
      <c r="M292" s="81" t="s">
        <v>602</v>
      </c>
      <c r="N292" s="21">
        <v>45442</v>
      </c>
      <c r="O292" s="282" t="str">
        <f>IF(Tableau3384[[#This Row],[Date du paiement]]&gt;0,"",Tableau3384[[#This Row],[Montant
CHF]])</f>
        <v/>
      </c>
      <c r="P292" s="276" t="str">
        <f>IF(Tableau3384[[#This Row],[Date du paiement]]="",$B$4-Tableau3384[[#This Row],[Écheance]],"")</f>
        <v/>
      </c>
      <c r="Q292" s="168" t="str">
        <f>IF(Tableau3384[[#This Row],[Date du paiement]]="",IF(Tableau3384[[#This Row],[jours jusqu''à l''écheance]]&gt;0,Tableau3384[[#This Row],[Montant
CHF]],""),"")</f>
        <v/>
      </c>
      <c r="R292" s="298" t="str">
        <f>IF(Tableau3384[[#This Row],[Date du paiement]]="",IF(Tableau3384[[#This Row],[jours jusqu''à l''écheance]]-($B$4-$B$11-1)&gt;0,Tableau3384[[#This Row],[Montant
CHF]],""),"")</f>
        <v/>
      </c>
      <c r="S292" s="142"/>
      <c r="T292" s="95" t="str">
        <f>IF(Tableau3384[[#This Row],[Paiements prevus]]="oui",Tableau3384[[#This Row],[Montant prevu à payer CH]],"")</f>
        <v/>
      </c>
      <c r="U292" s="176"/>
      <c r="V292" s="73"/>
      <c r="W292" s="68"/>
      <c r="X292" s="23">
        <v>45443</v>
      </c>
      <c r="Y292" s="7" t="s">
        <v>58</v>
      </c>
      <c r="Z292" s="120" t="str">
        <f>IF(Tableau3384[[#This Row],[Méthode du paiement]]="Mastercard","OUI","")</f>
        <v/>
      </c>
      <c r="AA292" s="6" t="s">
        <v>294</v>
      </c>
      <c r="AB292" s="6" t="s">
        <v>551</v>
      </c>
    </row>
    <row r="293" spans="1:35" hidden="1" x14ac:dyDescent="0.25">
      <c r="A293" s="9" t="s">
        <v>568</v>
      </c>
      <c r="B293" s="21">
        <v>45412</v>
      </c>
      <c r="C293" s="21">
        <v>45420</v>
      </c>
      <c r="D293" s="22" t="s">
        <v>162</v>
      </c>
      <c r="E293" s="11">
        <v>43</v>
      </c>
      <c r="F293" s="88">
        <v>8.1</v>
      </c>
      <c r="G293" s="80"/>
      <c r="H293" s="136">
        <f>Tableau3384[[#This Row],[Montant
CHF]]+Tableau3384[[#This Row],[Abzug/Spesen
CHF]]</f>
        <v>43</v>
      </c>
      <c r="I293" s="39"/>
      <c r="J293" s="40"/>
      <c r="K293" s="189"/>
      <c r="L293" s="298"/>
      <c r="M293" s="81"/>
      <c r="N293" s="21">
        <v>45442</v>
      </c>
      <c r="O293" s="282" t="str">
        <f>IF(Tableau3384[[#This Row],[Date du paiement]]&gt;0,"",Tableau3384[[#This Row],[Montant
CHF]])</f>
        <v/>
      </c>
      <c r="P293" s="276" t="str">
        <f>IF(Tableau3384[[#This Row],[Date du paiement]]="",$B$4-Tableau3384[[#This Row],[Écheance]],"")</f>
        <v/>
      </c>
      <c r="Q293" s="168" t="str">
        <f>IF(Tableau3384[[#This Row],[Date du paiement]]="",IF(Tableau3384[[#This Row],[jours jusqu''à l''écheance]]&gt;0,Tableau3384[[#This Row],[Montant
CHF]],""),"")</f>
        <v/>
      </c>
      <c r="R293" s="298" t="str">
        <f>IF(Tableau3384[[#This Row],[Date du paiement]]="",IF(Tableau3384[[#This Row],[jours jusqu''à l''écheance]]-($B$4-$B$11-1)&gt;0,Tableau3384[[#This Row],[Montant
CHF]],""),"")</f>
        <v/>
      </c>
      <c r="S293" s="142"/>
      <c r="T293" s="95" t="str">
        <f>IF(Tableau3384[[#This Row],[Paiements prevus]]="oui",Tableau3384[[#This Row],[Montant prevu à payer CH]],"")</f>
        <v/>
      </c>
      <c r="U293" s="176"/>
      <c r="V293" s="73"/>
      <c r="W293" s="68"/>
      <c r="X293" s="23">
        <v>45446</v>
      </c>
      <c r="Y293" s="7" t="s">
        <v>58</v>
      </c>
      <c r="Z293" s="120" t="str">
        <f>IF(Tableau3384[[#This Row],[Méthode du paiement]]="Mastercard","OUI","")</f>
        <v/>
      </c>
      <c r="AA293" s="6" t="s">
        <v>43</v>
      </c>
      <c r="AB293" s="180" t="s">
        <v>195</v>
      </c>
    </row>
    <row r="294" spans="1:35" hidden="1" x14ac:dyDescent="0.25">
      <c r="A294" s="9" t="s">
        <v>645</v>
      </c>
      <c r="B294" s="21">
        <v>45412</v>
      </c>
      <c r="C294" s="21">
        <v>45439</v>
      </c>
      <c r="D294" s="22" t="s">
        <v>245</v>
      </c>
      <c r="E294" s="11">
        <f>Tableau3384[[#This Row],[Montant
EUR]]*Tableau3384[[#This Row],[Taux 
de change]]</f>
        <v>567.09952080000005</v>
      </c>
      <c r="F294" s="88">
        <v>0</v>
      </c>
      <c r="G294" s="80"/>
      <c r="H294" s="136">
        <f>Tableau3384[[#This Row],[Montant
CHF]]+Tableau3384[[#This Row],[Abzug/Spesen
CHF]]</f>
        <v>567.09952080000005</v>
      </c>
      <c r="I294" s="39">
        <v>0.97413000000000005</v>
      </c>
      <c r="J294" s="40">
        <v>582.16</v>
      </c>
      <c r="K294" s="189"/>
      <c r="L294" s="298"/>
      <c r="M294" s="81"/>
      <c r="N294" s="21">
        <v>45442</v>
      </c>
      <c r="O294" s="282" t="str">
        <f>IF(Tableau3384[[#This Row],[Date du paiement]]&gt;0,"",Tableau3384[[#This Row],[Montant
CHF]])</f>
        <v/>
      </c>
      <c r="P294" s="276" t="str">
        <f>IF(Tableau3384[[#This Row],[Date du paiement]]="",$B$4-Tableau3384[[#This Row],[Écheance]],"")</f>
        <v/>
      </c>
      <c r="Q294" s="168" t="str">
        <f>IF(Tableau3384[[#This Row],[Date du paiement]]="",IF(Tableau3384[[#This Row],[jours jusqu''à l''écheance]]&gt;0,Tableau3384[[#This Row],[Montant
CHF]],""),"")</f>
        <v/>
      </c>
      <c r="R294" s="298" t="str">
        <f>IF(Tableau3384[[#This Row],[Date du paiement]]="",IF(Tableau3384[[#This Row],[jours jusqu''à l''écheance]]-($B$4-$B$11-1)&gt;0,Tableau3384[[#This Row],[Montant
CHF]],""),"")</f>
        <v/>
      </c>
      <c r="S294" s="142"/>
      <c r="T294" s="95" t="str">
        <f>IF(Tableau3384[[#This Row],[Paiements prevus]]="oui",Tableau3384[[#This Row],[Montant prevu à payer CH]],"")</f>
        <v/>
      </c>
      <c r="U294" s="177"/>
      <c r="V294" s="73"/>
      <c r="W294" s="68"/>
      <c r="X294" s="23">
        <v>45449</v>
      </c>
      <c r="Y294" s="7" t="s">
        <v>58</v>
      </c>
      <c r="Z294" s="120" t="str">
        <f>IF(Tableau3384[[#This Row],[Méthode du paiement]]="Mastercard","OUI","")</f>
        <v/>
      </c>
      <c r="AA294" s="6" t="s">
        <v>11</v>
      </c>
      <c r="AB294" s="6" t="s">
        <v>646</v>
      </c>
    </row>
    <row r="295" spans="1:35" hidden="1" x14ac:dyDescent="0.25">
      <c r="A295" s="9">
        <v>1245742</v>
      </c>
      <c r="B295" s="21">
        <v>45413</v>
      </c>
      <c r="C295" s="21">
        <v>45292</v>
      </c>
      <c r="D295" s="22" t="s">
        <v>2</v>
      </c>
      <c r="E295" s="11">
        <v>1523.55</v>
      </c>
      <c r="F295" s="88">
        <v>8.1</v>
      </c>
      <c r="G295" s="80"/>
      <c r="H295" s="136">
        <f>Tableau3384[[#This Row],[Montant
CHF]]+Tableau3384[[#This Row],[Abzug/Spesen
CHF]]</f>
        <v>1523.55</v>
      </c>
      <c r="I295" s="39"/>
      <c r="J295" s="40"/>
      <c r="K295" s="189"/>
      <c r="L295" s="298"/>
      <c r="M295" s="81"/>
      <c r="N295" s="21">
        <v>45413</v>
      </c>
      <c r="O295" s="282" t="str">
        <f>IF(Tableau3384[[#This Row],[Date du paiement]]&gt;0,"",Tableau3384[[#This Row],[Montant
CHF]])</f>
        <v/>
      </c>
      <c r="P295" s="276" t="str">
        <f>IF(Tableau3384[[#This Row],[Date du paiement]]="",$B$4-Tableau3384[[#This Row],[Écheance]],"")</f>
        <v/>
      </c>
      <c r="Q295" s="168" t="str">
        <f>IF(Tableau3384[[#This Row],[Date du paiement]]="",IF(Tableau3384[[#This Row],[jours jusqu''à l''écheance]]&gt;0,Tableau3384[[#This Row],[Montant
CHF]],""),"")</f>
        <v/>
      </c>
      <c r="R295" s="298" t="str">
        <f>IF(Tableau3384[[#This Row],[Date du paiement]]="",IF(Tableau3384[[#This Row],[jours jusqu''à l''écheance]]-($B$4-$B$11-1)&gt;0,Tableau3384[[#This Row],[Montant
CHF]],""),"")</f>
        <v/>
      </c>
      <c r="S295" s="142"/>
      <c r="T295" s="95" t="str">
        <f>IF(Tableau3384[[#This Row],[Paiements prevus]]="oui",Tableau3384[[#This Row],[Montant prevu à payer CH]],"")</f>
        <v/>
      </c>
      <c r="U295" s="176"/>
      <c r="V295" s="73"/>
      <c r="W295" s="68"/>
      <c r="X295" s="23">
        <v>45418</v>
      </c>
      <c r="Y295" s="7" t="s">
        <v>58</v>
      </c>
      <c r="Z295" s="120" t="str">
        <f>IF(Tableau3384[[#This Row],[Méthode du paiement]]="Mastercard","OUI","")</f>
        <v/>
      </c>
      <c r="AA295" s="6" t="s">
        <v>1162</v>
      </c>
      <c r="AB295" s="6" t="s">
        <v>414</v>
      </c>
    </row>
    <row r="296" spans="1:35" hidden="1" x14ac:dyDescent="0.25">
      <c r="A296" s="13" t="s">
        <v>632</v>
      </c>
      <c r="B296" s="21">
        <v>45413</v>
      </c>
      <c r="C296" s="21">
        <v>45292</v>
      </c>
      <c r="D296" s="22" t="s">
        <v>3</v>
      </c>
      <c r="E296" s="11">
        <v>3438</v>
      </c>
      <c r="F296" s="88">
        <v>0</v>
      </c>
      <c r="G296" s="80"/>
      <c r="H296" s="136">
        <f>Tableau3384[[#This Row],[Montant
CHF]]+Tableau3384[[#This Row],[Abzug/Spesen
CHF]]</f>
        <v>3438</v>
      </c>
      <c r="I296" s="39"/>
      <c r="J296" s="40"/>
      <c r="K296" s="189"/>
      <c r="L296" s="298"/>
      <c r="M296" s="81"/>
      <c r="N296" s="21">
        <v>45413</v>
      </c>
      <c r="O296" s="282" t="str">
        <f>IF(Tableau3384[[#This Row],[Date du paiement]]&gt;0,"",Tableau3384[[#This Row],[Montant
CHF]])</f>
        <v/>
      </c>
      <c r="P296" s="276" t="str">
        <f>IF(Tableau3384[[#This Row],[Date du paiement]]="",$B$4-Tableau3384[[#This Row],[Écheance]],"")</f>
        <v/>
      </c>
      <c r="Q296" s="168" t="str">
        <f>IF(Tableau3384[[#This Row],[Date du paiement]]="",IF(Tableau3384[[#This Row],[jours jusqu''à l''écheance]]&gt;0,Tableau3384[[#This Row],[Montant
CHF]],""),"")</f>
        <v/>
      </c>
      <c r="R296" s="298" t="str">
        <f>IF(Tableau3384[[#This Row],[Date du paiement]]="",IF(Tableau3384[[#This Row],[jours jusqu''à l''écheance]]-($B$4-$B$11-1)&gt;0,Tableau3384[[#This Row],[Montant
CHF]],""),"")</f>
        <v/>
      </c>
      <c r="S296" s="142"/>
      <c r="T296" s="95" t="str">
        <f>IF(Tableau3384[[#This Row],[Paiements prevus]]="oui",Tableau3384[[#This Row],[Montant prevu à payer CH]],"")</f>
        <v/>
      </c>
      <c r="U296" s="129"/>
      <c r="V296" s="73"/>
      <c r="W296" s="68"/>
      <c r="X296" s="23">
        <v>45419</v>
      </c>
      <c r="Y296" s="7" t="s">
        <v>58</v>
      </c>
      <c r="Z296" s="120" t="str">
        <f>IF(Tableau3384[[#This Row],[Méthode du paiement]]="Mastercard","OUI","")</f>
        <v/>
      </c>
      <c r="AA296" s="6" t="s">
        <v>6</v>
      </c>
      <c r="AB296" s="6" t="s">
        <v>414</v>
      </c>
    </row>
    <row r="297" spans="1:35" hidden="1" x14ac:dyDescent="0.25">
      <c r="A297" s="182">
        <v>214112</v>
      </c>
      <c r="B297" s="21">
        <v>45413</v>
      </c>
      <c r="C297" s="21">
        <v>45292</v>
      </c>
      <c r="D297" s="22" t="s">
        <v>7</v>
      </c>
      <c r="E297" s="11">
        <v>11531</v>
      </c>
      <c r="F297" s="88">
        <v>0</v>
      </c>
      <c r="G297" s="80"/>
      <c r="H297" s="136">
        <f>Tableau3384[[#This Row],[Montant
CHF]]+Tableau3384[[#This Row],[Abzug/Spesen
CHF]]</f>
        <v>11531</v>
      </c>
      <c r="I297" s="39"/>
      <c r="J297" s="40"/>
      <c r="K297" s="189"/>
      <c r="L297" s="298"/>
      <c r="M297" s="81"/>
      <c r="N297" s="21">
        <v>45413</v>
      </c>
      <c r="O297" s="282" t="str">
        <f>IF(Tableau3384[[#This Row],[Date du paiement]]&gt;0,"",Tableau3384[[#This Row],[Montant
CHF]])</f>
        <v/>
      </c>
      <c r="P297" s="276" t="str">
        <f>IF(Tableau3384[[#This Row],[Date du paiement]]="",$B$4-Tableau3384[[#This Row],[Écheance]],"")</f>
        <v/>
      </c>
      <c r="Q297" s="168" t="str">
        <f>IF(Tableau3384[[#This Row],[Date du paiement]]="",IF(Tableau3384[[#This Row],[jours jusqu''à l''écheance]]&gt;0,Tableau3384[[#This Row],[Montant
CHF]],""),"")</f>
        <v/>
      </c>
      <c r="R297" s="298" t="str">
        <f>IF(Tableau3384[[#This Row],[Date du paiement]]="",IF(Tableau3384[[#This Row],[jours jusqu''à l''écheance]]-($B$4-$B$11-1)&gt;0,Tableau3384[[#This Row],[Montant
CHF]],""),"")</f>
        <v/>
      </c>
      <c r="S297" s="142"/>
      <c r="T297" s="95" t="str">
        <f>IF(Tableau3384[[#This Row],[Paiements prevus]]="oui",Tableau3384[[#This Row],[Montant prevu à payer CH]],"")</f>
        <v/>
      </c>
      <c r="U297" s="129"/>
      <c r="V297" s="73"/>
      <c r="W297" s="68"/>
      <c r="X297" s="23">
        <v>45419</v>
      </c>
      <c r="Y297" s="7" t="s">
        <v>58</v>
      </c>
      <c r="Z297" s="120" t="str">
        <f>IF(Tableau3384[[#This Row],[Méthode du paiement]]="Mastercard","OUI","")</f>
        <v/>
      </c>
      <c r="AA297" s="180" t="s">
        <v>6</v>
      </c>
      <c r="AB297" s="6" t="s">
        <v>414</v>
      </c>
    </row>
    <row r="298" spans="1:35" hidden="1" x14ac:dyDescent="0.25">
      <c r="A298" s="182" t="s">
        <v>516</v>
      </c>
      <c r="B298" s="21">
        <v>45413</v>
      </c>
      <c r="C298" s="21">
        <v>45418</v>
      </c>
      <c r="D298" s="22" t="s">
        <v>362</v>
      </c>
      <c r="E298" s="11">
        <v>5318.5</v>
      </c>
      <c r="F298" s="88">
        <v>8.1</v>
      </c>
      <c r="G298" s="80"/>
      <c r="H298" s="136">
        <f>Tableau3384[[#This Row],[Montant
CHF]]+Tableau3384[[#This Row],[Abzug/Spesen
CHF]]</f>
        <v>5318.5</v>
      </c>
      <c r="I298" s="39"/>
      <c r="J298" s="40"/>
      <c r="K298" s="189"/>
      <c r="L298" s="298"/>
      <c r="M298" s="81" t="s">
        <v>519</v>
      </c>
      <c r="N298" s="21">
        <v>45422</v>
      </c>
      <c r="O298" s="282" t="str">
        <f>IF(Tableau3384[[#This Row],[Date du paiement]]&gt;0,"",Tableau3384[[#This Row],[Montant
CHF]])</f>
        <v/>
      </c>
      <c r="P298" s="276" t="str">
        <f>IF(Tableau3384[[#This Row],[Date du paiement]]="",$B$4-Tableau3384[[#This Row],[Écheance]],"")</f>
        <v/>
      </c>
      <c r="Q298" s="168" t="str">
        <f>IF(Tableau3384[[#This Row],[Date du paiement]]="",IF(Tableau3384[[#This Row],[jours jusqu''à l''écheance]]&gt;0,Tableau3384[[#This Row],[Montant
CHF]],""),"")</f>
        <v/>
      </c>
      <c r="R298" s="298" t="str">
        <f>IF(Tableau3384[[#This Row],[Date du paiement]]="",IF(Tableau3384[[#This Row],[jours jusqu''à l''écheance]]-($B$4-$B$11-1)&gt;0,Tableau3384[[#This Row],[Montant
CHF]],""),"")</f>
        <v/>
      </c>
      <c r="S298" s="142"/>
      <c r="T298" s="95" t="str">
        <f>IF(Tableau3384[[#This Row],[Paiements prevus]]="oui",Tableau3384[[#This Row],[Montant prevu à payer CH]],"")</f>
        <v/>
      </c>
      <c r="U298" s="129"/>
      <c r="V298" s="73"/>
      <c r="W298" s="68"/>
      <c r="X298" s="23">
        <v>45422</v>
      </c>
      <c r="Y298" s="7" t="s">
        <v>58</v>
      </c>
      <c r="Z298" s="120" t="str">
        <f>IF(Tableau3384[[#This Row],[Méthode du paiement]]="Mastercard","OUI","")</f>
        <v/>
      </c>
      <c r="AA298" s="6" t="s">
        <v>4</v>
      </c>
      <c r="AB298" s="6" t="s">
        <v>520</v>
      </c>
      <c r="AC298" s="5"/>
      <c r="AD298" s="5"/>
      <c r="AE298" s="5"/>
      <c r="AF298" s="5"/>
      <c r="AG298" s="5"/>
      <c r="AH298" s="5"/>
      <c r="AI298" s="5"/>
    </row>
    <row r="299" spans="1:35" hidden="1" x14ac:dyDescent="0.25">
      <c r="A299" s="9" t="s">
        <v>515</v>
      </c>
      <c r="B299" s="21">
        <v>45413</v>
      </c>
      <c r="C299" s="21">
        <v>45418</v>
      </c>
      <c r="D299" s="22" t="s">
        <v>362</v>
      </c>
      <c r="E299" s="11">
        <v>5680.65</v>
      </c>
      <c r="F299" s="88">
        <v>8.1</v>
      </c>
      <c r="G299" s="80"/>
      <c r="H299" s="136">
        <f>Tableau3384[[#This Row],[Montant
CHF]]+Tableau3384[[#This Row],[Abzug/Spesen
CHF]]</f>
        <v>5680.65</v>
      </c>
      <c r="I299" s="39"/>
      <c r="J299" s="40"/>
      <c r="K299" s="189"/>
      <c r="L299" s="298"/>
      <c r="M299" s="81" t="s">
        <v>517</v>
      </c>
      <c r="N299" s="21">
        <v>45442</v>
      </c>
      <c r="O299" s="282" t="str">
        <f>IF(Tableau3384[[#This Row],[Date du paiement]]&gt;0,"",Tableau3384[[#This Row],[Montant
CHF]])</f>
        <v/>
      </c>
      <c r="P299" s="276" t="str">
        <f>IF(Tableau3384[[#This Row],[Date du paiement]]="",$B$4-Tableau3384[[#This Row],[Écheance]],"")</f>
        <v/>
      </c>
      <c r="Q299" s="168" t="str">
        <f>IF(Tableau3384[[#This Row],[Date du paiement]]="",IF(Tableau3384[[#This Row],[jours jusqu''à l''écheance]]&gt;0,Tableau3384[[#This Row],[Montant
CHF]],""),"")</f>
        <v/>
      </c>
      <c r="R299" s="298" t="str">
        <f>IF(Tableau3384[[#This Row],[Date du paiement]]="",IF(Tableau3384[[#This Row],[jours jusqu''à l''écheance]]-($B$4-$B$11-1)&gt;0,Tableau3384[[#This Row],[Montant
CHF]],""),"")</f>
        <v/>
      </c>
      <c r="S299" s="142"/>
      <c r="T299" s="95" t="str">
        <f>IF(Tableau3384[[#This Row],[Paiements prevus]]="oui",Tableau3384[[#This Row],[Montant prevu à payer CH]],"")</f>
        <v/>
      </c>
      <c r="U299" s="129"/>
      <c r="V299" s="73"/>
      <c r="W299" s="68"/>
      <c r="X299" s="23">
        <v>45441</v>
      </c>
      <c r="Y299" s="7" t="s">
        <v>58</v>
      </c>
      <c r="Z299" s="120" t="str">
        <f>IF(Tableau3384[[#This Row],[Méthode du paiement]]="Mastercard","OUI","")</f>
        <v/>
      </c>
      <c r="AA299" s="6" t="s">
        <v>4</v>
      </c>
      <c r="AB299" s="6" t="s">
        <v>518</v>
      </c>
      <c r="AC299" s="5"/>
      <c r="AD299" s="5"/>
      <c r="AE299" s="5"/>
      <c r="AF299" s="5"/>
      <c r="AG299" s="5"/>
      <c r="AH299" s="5"/>
      <c r="AI299" s="5"/>
    </row>
    <row r="300" spans="1:35" hidden="1" x14ac:dyDescent="0.25">
      <c r="A300" s="9" t="s">
        <v>528</v>
      </c>
      <c r="B300" s="21">
        <v>45413</v>
      </c>
      <c r="C300" s="21">
        <v>45418</v>
      </c>
      <c r="D300" s="22" t="s">
        <v>46</v>
      </c>
      <c r="E300" s="11">
        <v>597.79</v>
      </c>
      <c r="F300" s="88">
        <v>8.1</v>
      </c>
      <c r="G300" s="80"/>
      <c r="H300" s="136">
        <f>Tableau3384[[#This Row],[Montant
CHF]]+Tableau3384[[#This Row],[Abzug/Spesen
CHF]]</f>
        <v>597.79</v>
      </c>
      <c r="I300" s="39"/>
      <c r="J300" s="40"/>
      <c r="K300" s="189"/>
      <c r="L300" s="298"/>
      <c r="M300" s="81"/>
      <c r="N300" s="21">
        <v>45443</v>
      </c>
      <c r="O300" s="282" t="str">
        <f>IF(Tableau3384[[#This Row],[Date du paiement]]&gt;0,"",Tableau3384[[#This Row],[Montant
CHF]])</f>
        <v/>
      </c>
      <c r="P300" s="276" t="str">
        <f>IF(Tableau3384[[#This Row],[Date du paiement]]="",$B$4-Tableau3384[[#This Row],[Écheance]],"")</f>
        <v/>
      </c>
      <c r="Q300" s="168" t="str">
        <f>IF(Tableau3384[[#This Row],[Date du paiement]]="",IF(Tableau3384[[#This Row],[jours jusqu''à l''écheance]]&gt;0,Tableau3384[[#This Row],[Montant
CHF]],""),"")</f>
        <v/>
      </c>
      <c r="R300" s="298" t="str">
        <f>IF(Tableau3384[[#This Row],[Date du paiement]]="",IF(Tableau3384[[#This Row],[jours jusqu''à l''écheance]]-($B$4-$B$11-1)&gt;0,Tableau3384[[#This Row],[Montant
CHF]],""),"")</f>
        <v/>
      </c>
      <c r="S300" s="142"/>
      <c r="T300" s="95" t="str">
        <f>IF(Tableau3384[[#This Row],[Paiements prevus]]="oui",Tableau3384[[#This Row],[Montant prevu à payer CH]],"")</f>
        <v/>
      </c>
      <c r="U300" s="129"/>
      <c r="V300" s="73"/>
      <c r="W300" s="68"/>
      <c r="X300" s="23">
        <v>45449</v>
      </c>
      <c r="Y300" s="7" t="s">
        <v>58</v>
      </c>
      <c r="Z300" s="120" t="str">
        <f>IF(Tableau3384[[#This Row],[Méthode du paiement]]="Mastercard","OUI","")</f>
        <v/>
      </c>
      <c r="AA300" s="6" t="s">
        <v>30</v>
      </c>
      <c r="AB300" s="6" t="s">
        <v>414</v>
      </c>
      <c r="AC300" s="5"/>
      <c r="AD300" s="5"/>
      <c r="AE300" s="5"/>
      <c r="AF300" s="5"/>
      <c r="AG300" s="5"/>
      <c r="AH300" s="5"/>
      <c r="AI300" s="5"/>
    </row>
    <row r="301" spans="1:35" hidden="1" x14ac:dyDescent="0.25">
      <c r="A301" s="9" t="s">
        <v>552</v>
      </c>
      <c r="B301" s="21">
        <v>45413</v>
      </c>
      <c r="C301" s="21">
        <v>45419</v>
      </c>
      <c r="D301" s="22" t="s">
        <v>130</v>
      </c>
      <c r="E301" s="11">
        <v>70.25</v>
      </c>
      <c r="F301" s="88">
        <v>8.1</v>
      </c>
      <c r="G301" s="80"/>
      <c r="H301" s="136">
        <f>Tableau3384[[#This Row],[Montant
CHF]]+Tableau3384[[#This Row],[Abzug/Spesen
CHF]]</f>
        <v>70.25</v>
      </c>
      <c r="I301" s="39"/>
      <c r="J301" s="40"/>
      <c r="K301" s="189"/>
      <c r="L301" s="298"/>
      <c r="M301" s="81"/>
      <c r="N301" s="21">
        <v>45443</v>
      </c>
      <c r="O301" s="282" t="str">
        <f>IF(Tableau3384[[#This Row],[Date du paiement]]&gt;0,"",Tableau3384[[#This Row],[Montant
CHF]])</f>
        <v/>
      </c>
      <c r="P301" s="276" t="str">
        <f>IF(Tableau3384[[#This Row],[Date du paiement]]="",$B$4-Tableau3384[[#This Row],[Écheance]],"")</f>
        <v/>
      </c>
      <c r="Q301" s="168" t="str">
        <f>IF(Tableau3384[[#This Row],[Date du paiement]]="",IF(Tableau3384[[#This Row],[jours jusqu''à l''écheance]]&gt;0,Tableau3384[[#This Row],[Montant
CHF]],""),"")</f>
        <v/>
      </c>
      <c r="R301" s="298" t="str">
        <f>IF(Tableau3384[[#This Row],[Date du paiement]]="",IF(Tableau3384[[#This Row],[jours jusqu''à l''écheance]]-($B$4-$B$11-1)&gt;0,Tableau3384[[#This Row],[Montant
CHF]],""),"")</f>
        <v/>
      </c>
      <c r="S301" s="142"/>
      <c r="T301" s="95" t="str">
        <f>IF(Tableau3384[[#This Row],[Paiements prevus]]="oui",Tableau3384[[#This Row],[Montant prevu à payer CH]],"")</f>
        <v/>
      </c>
      <c r="U301" s="129"/>
      <c r="V301" s="73"/>
      <c r="W301" s="68"/>
      <c r="X301" s="23">
        <v>45446</v>
      </c>
      <c r="Y301" s="7" t="s">
        <v>58</v>
      </c>
      <c r="Z301" s="120" t="str">
        <f>IF(Tableau3384[[#This Row],[Méthode du paiement]]="Mastercard","OUI","")</f>
        <v/>
      </c>
      <c r="AA301" s="6" t="s">
        <v>30</v>
      </c>
      <c r="AB301" s="6" t="s">
        <v>195</v>
      </c>
      <c r="AC301" s="5"/>
      <c r="AD301" s="5"/>
      <c r="AE301" s="5"/>
      <c r="AF301" s="5"/>
      <c r="AG301" s="5"/>
      <c r="AH301" s="5"/>
      <c r="AI301" s="5"/>
    </row>
    <row r="302" spans="1:35" hidden="1" x14ac:dyDescent="0.25">
      <c r="A302" s="9" t="s">
        <v>606</v>
      </c>
      <c r="B302" s="21">
        <v>45414</v>
      </c>
      <c r="C302" s="21">
        <v>45414</v>
      </c>
      <c r="D302" s="22" t="s">
        <v>216</v>
      </c>
      <c r="E302" s="11">
        <v>447.1</v>
      </c>
      <c r="F302" s="88">
        <v>100</v>
      </c>
      <c r="G302" s="80"/>
      <c r="H302" s="136">
        <f>Tableau3384[[#This Row],[Montant
CHF]]+Tableau3384[[#This Row],[Abzug/Spesen
CHF]]</f>
        <v>447.1</v>
      </c>
      <c r="I302" s="39"/>
      <c r="J302" s="40"/>
      <c r="K302" s="189"/>
      <c r="L302" s="298"/>
      <c r="M302" s="81"/>
      <c r="N302" s="21">
        <v>45474</v>
      </c>
      <c r="O302" s="282" t="str">
        <f>IF(Tableau3384[[#This Row],[Date du paiement]]&gt;0,"",Tableau3384[[#This Row],[Montant
CHF]])</f>
        <v/>
      </c>
      <c r="P302" s="276" t="str">
        <f>IF(Tableau3384[[#This Row],[Date du paiement]]="",$B$4-Tableau3384[[#This Row],[Écheance]],"")</f>
        <v/>
      </c>
      <c r="Q302" s="168" t="str">
        <f>IF(Tableau3384[[#This Row],[Date du paiement]]="",IF(Tableau3384[[#This Row],[jours jusqu''à l''écheance]]&gt;0,Tableau3384[[#This Row],[Montant
CHF]],""),"")</f>
        <v/>
      </c>
      <c r="R302" s="298" t="str">
        <f>IF(Tableau3384[[#This Row],[Date du paiement]]="",IF(Tableau3384[[#This Row],[jours jusqu''à l''écheance]]-($B$4-$B$11-1)&gt;0,Tableau3384[[#This Row],[Montant
CHF]],""),"")</f>
        <v/>
      </c>
      <c r="S302" s="142"/>
      <c r="T302" s="95" t="str">
        <f>IF(Tableau3384[[#This Row],[Paiements prevus]]="oui",Tableau3384[[#This Row],[Montant prevu à payer CH]],"")</f>
        <v/>
      </c>
      <c r="U302" s="176"/>
      <c r="V302" s="73" t="s">
        <v>736</v>
      </c>
      <c r="W302" s="68"/>
      <c r="X302" s="23">
        <v>45483</v>
      </c>
      <c r="Y302" s="7" t="s">
        <v>58</v>
      </c>
      <c r="Z302" s="120" t="str">
        <f>IF(Tableau3384[[#This Row],[Méthode du paiement]]="Mastercard","OUI","")</f>
        <v/>
      </c>
      <c r="AA302" s="6" t="s">
        <v>604</v>
      </c>
      <c r="AB302" s="6" t="s">
        <v>608</v>
      </c>
    </row>
    <row r="303" spans="1:35" hidden="1" x14ac:dyDescent="0.25">
      <c r="A303" s="9" t="s">
        <v>542</v>
      </c>
      <c r="B303" s="21">
        <v>45414</v>
      </c>
      <c r="C303" s="21">
        <v>45418</v>
      </c>
      <c r="D303" s="22" t="s">
        <v>196</v>
      </c>
      <c r="E303" s="11">
        <v>3518.7</v>
      </c>
      <c r="F303" s="88">
        <v>8.1</v>
      </c>
      <c r="G303" s="80"/>
      <c r="H303" s="136">
        <f>Tableau3384[[#This Row],[Montant
CHF]]+Tableau3384[[#This Row],[Abzug/Spesen
CHF]]</f>
        <v>3518.7</v>
      </c>
      <c r="I303" s="39"/>
      <c r="J303" s="40"/>
      <c r="K303" s="189"/>
      <c r="L303" s="298"/>
      <c r="M303" s="81"/>
      <c r="N303" s="21">
        <v>45424</v>
      </c>
      <c r="O303" s="282" t="str">
        <f>IF(Tableau3384[[#This Row],[Date du paiement]]&gt;0,"",Tableau3384[[#This Row],[Montant
CHF]])</f>
        <v/>
      </c>
      <c r="P303" s="276" t="str">
        <f>IF(Tableau3384[[#This Row],[Date du paiement]]="",$B$4-Tableau3384[[#This Row],[Écheance]],"")</f>
        <v/>
      </c>
      <c r="Q303" s="168" t="str">
        <f>IF(Tableau3384[[#This Row],[Date du paiement]]="",IF(Tableau3384[[#This Row],[jours jusqu''à l''écheance]]&gt;0,Tableau3384[[#This Row],[Montant
CHF]],""),"")</f>
        <v/>
      </c>
      <c r="R303" s="298" t="str">
        <f>IF(Tableau3384[[#This Row],[Date du paiement]]="",IF(Tableau3384[[#This Row],[jours jusqu''à l''écheance]]-($B$4-$B$11-1)&gt;0,Tableau3384[[#This Row],[Montant
CHF]],""),"")</f>
        <v/>
      </c>
      <c r="S303" s="142"/>
      <c r="T303" s="95" t="str">
        <f>IF(Tableau3384[[#This Row],[Paiements prevus]]="oui",Tableau3384[[#This Row],[Montant prevu à payer CH]],"")</f>
        <v/>
      </c>
      <c r="U303" s="129"/>
      <c r="V303" s="73"/>
      <c r="W303" s="68"/>
      <c r="X303" s="23">
        <v>45453</v>
      </c>
      <c r="Y303" s="7" t="s">
        <v>58</v>
      </c>
      <c r="Z303" s="120" t="str">
        <f>IF(Tableau3384[[#This Row],[Méthode du paiement]]="Mastercard","OUI","")</f>
        <v/>
      </c>
      <c r="AA303" s="6" t="s">
        <v>4</v>
      </c>
      <c r="AB303" s="6" t="s">
        <v>545</v>
      </c>
    </row>
    <row r="304" spans="1:35" hidden="1" x14ac:dyDescent="0.25">
      <c r="A304" s="9" t="s">
        <v>536</v>
      </c>
      <c r="B304" s="21">
        <v>45414</v>
      </c>
      <c r="C304" s="21">
        <v>45418</v>
      </c>
      <c r="D304" s="22" t="s">
        <v>92</v>
      </c>
      <c r="E304" s="11">
        <v>411.55</v>
      </c>
      <c r="F304" s="88">
        <v>8.1</v>
      </c>
      <c r="G304" s="80"/>
      <c r="H304" s="136">
        <f>Tableau3384[[#This Row],[Montant
CHF]]+Tableau3384[[#This Row],[Abzug/Spesen
CHF]]</f>
        <v>411.55</v>
      </c>
      <c r="I304" s="39"/>
      <c r="J304" s="40"/>
      <c r="K304" s="189"/>
      <c r="L304" s="298"/>
      <c r="M304" s="81"/>
      <c r="N304" s="21">
        <v>45424</v>
      </c>
      <c r="O304" s="282" t="str">
        <f>IF(Tableau3384[[#This Row],[Date du paiement]]&gt;0,"",Tableau3384[[#This Row],[Montant
CHF]])</f>
        <v/>
      </c>
      <c r="P304" s="276" t="str">
        <f>IF(Tableau3384[[#This Row],[Date du paiement]]="",$B$4-Tableau3384[[#This Row],[Écheance]],"")</f>
        <v/>
      </c>
      <c r="Q304" s="168" t="str">
        <f>IF(Tableau3384[[#This Row],[Date du paiement]]="",IF(Tableau3384[[#This Row],[jours jusqu''à l''écheance]]&gt;0,Tableau3384[[#This Row],[Montant
CHF]],""),"")</f>
        <v/>
      </c>
      <c r="R304" s="298" t="str">
        <f>IF(Tableau3384[[#This Row],[Date du paiement]]="",IF(Tableau3384[[#This Row],[jours jusqu''à l''écheance]]-($B$4-$B$11-1)&gt;0,Tableau3384[[#This Row],[Montant
CHF]],""),"")</f>
        <v/>
      </c>
      <c r="S304" s="142"/>
      <c r="T304" s="95" t="str">
        <f>IF(Tableau3384[[#This Row],[Paiements prevus]]="oui",Tableau3384[[#This Row],[Montant prevu à payer CH]],"")</f>
        <v/>
      </c>
      <c r="U304" s="176"/>
      <c r="V304" s="73"/>
      <c r="W304" s="68"/>
      <c r="X304" s="23">
        <v>45447</v>
      </c>
      <c r="Y304" s="7" t="s">
        <v>58</v>
      </c>
      <c r="Z304" s="120" t="str">
        <f>IF(Tableau3384[[#This Row],[Méthode du paiement]]="Mastercard","OUI","")</f>
        <v/>
      </c>
      <c r="AA304" s="6" t="s">
        <v>14</v>
      </c>
      <c r="AB304" s="6" t="s">
        <v>537</v>
      </c>
    </row>
    <row r="305" spans="1:28" hidden="1" x14ac:dyDescent="0.25">
      <c r="A305" s="9" t="s">
        <v>541</v>
      </c>
      <c r="B305" s="21">
        <v>45414</v>
      </c>
      <c r="C305" s="21">
        <v>45418</v>
      </c>
      <c r="D305" s="22" t="s">
        <v>50</v>
      </c>
      <c r="E305" s="11">
        <v>1215.4000000000001</v>
      </c>
      <c r="F305" s="88">
        <v>8.1</v>
      </c>
      <c r="G305" s="80"/>
      <c r="H305" s="136">
        <f>Tableau3384[[#This Row],[Montant
CHF]]+Tableau3384[[#This Row],[Abzug/Spesen
CHF]]</f>
        <v>1215.4000000000001</v>
      </c>
      <c r="I305" s="39"/>
      <c r="J305" s="40"/>
      <c r="K305" s="189"/>
      <c r="L305" s="298"/>
      <c r="M305" s="81"/>
      <c r="N305" s="21">
        <v>45443</v>
      </c>
      <c r="O305" s="282" t="str">
        <f>IF(Tableau3384[[#This Row],[Date du paiement]]&gt;0,"",Tableau3384[[#This Row],[Montant
CHF]])</f>
        <v/>
      </c>
      <c r="P305" s="276" t="str">
        <f>IF(Tableau3384[[#This Row],[Date du paiement]]="",$B$4-Tableau3384[[#This Row],[Écheance]],"")</f>
        <v/>
      </c>
      <c r="Q305" s="168" t="str">
        <f>IF(Tableau3384[[#This Row],[Date du paiement]]="",IF(Tableau3384[[#This Row],[jours jusqu''à l''écheance]]&gt;0,Tableau3384[[#This Row],[Montant
CHF]],""),"")</f>
        <v/>
      </c>
      <c r="R305" s="298" t="str">
        <f>IF(Tableau3384[[#This Row],[Date du paiement]]="",IF(Tableau3384[[#This Row],[jours jusqu''à l''écheance]]-($B$4-$B$11-1)&gt;0,Tableau3384[[#This Row],[Montant
CHF]],""),"")</f>
        <v/>
      </c>
      <c r="S305" s="142"/>
      <c r="T305" s="95" t="str">
        <f>IF(Tableau3384[[#This Row],[Paiements prevus]]="oui",Tableau3384[[#This Row],[Montant prevu à payer CH]],"")</f>
        <v/>
      </c>
      <c r="U305" s="129"/>
      <c r="V305" s="73"/>
      <c r="W305" s="68"/>
      <c r="X305" s="23">
        <v>45446</v>
      </c>
      <c r="Y305" s="7" t="s">
        <v>58</v>
      </c>
      <c r="Z305" s="120" t="str">
        <f>IF(Tableau3384[[#This Row],[Méthode du paiement]]="Mastercard","OUI","")</f>
        <v/>
      </c>
      <c r="AA305" s="18" t="s">
        <v>1431</v>
      </c>
      <c r="AB305" s="6" t="s">
        <v>195</v>
      </c>
    </row>
    <row r="306" spans="1:28" hidden="1" x14ac:dyDescent="0.25">
      <c r="A306" s="156" t="s">
        <v>129</v>
      </c>
      <c r="B306" s="21">
        <v>45415</v>
      </c>
      <c r="C306" s="26">
        <v>45310</v>
      </c>
      <c r="D306" s="157" t="s">
        <v>87</v>
      </c>
      <c r="E306" s="11">
        <v>2118.5500000000002</v>
      </c>
      <c r="F306" s="165">
        <v>0</v>
      </c>
      <c r="G306" s="82"/>
      <c r="H306" s="137">
        <f>Tableau3384[[#This Row],[Montant
CHF]]+Tableau3384[[#This Row],[Abzug/Spesen
CHF]]</f>
        <v>2118.5500000000002</v>
      </c>
      <c r="I306" s="41"/>
      <c r="J306" s="42"/>
      <c r="K306" s="42"/>
      <c r="L306" s="357"/>
      <c r="M306" s="83"/>
      <c r="N306" s="21">
        <v>45413</v>
      </c>
      <c r="O306" s="286" t="str">
        <f>IF(Tableau3384[[#This Row],[Date du paiement]]&gt;0,"",Tableau3384[[#This Row],[Montant
CHF]])</f>
        <v/>
      </c>
      <c r="P306" s="276" t="str">
        <f>IF(Tableau3384[[#This Row],[Date du paiement]]="",$B$4-Tableau3384[[#This Row],[Écheance]],"")</f>
        <v/>
      </c>
      <c r="Q306" s="168" t="str">
        <f>IF(Tableau3384[[#This Row],[Date du paiement]]="",IF(Tableau3384[[#This Row],[jours jusqu''à l''écheance]]&gt;0,Tableau3384[[#This Row],[Montant
CHF]],""),"")</f>
        <v/>
      </c>
      <c r="R306" s="298" t="str">
        <f>IF(Tableau3384[[#This Row],[Date du paiement]]="",IF(Tableau3384[[#This Row],[jours jusqu''à l''écheance]]-($B$4-$B$11-1)&gt;0,Tableau3384[[#This Row],[Montant
CHF]],""),"")</f>
        <v/>
      </c>
      <c r="S306" s="143"/>
      <c r="T306" s="95" t="str">
        <f>IF(Tableau3384[[#This Row],[Paiements prevus]]="oui",Tableau3384[[#This Row],[Montant prevu à payer CH]],"")</f>
        <v/>
      </c>
      <c r="U306" s="131"/>
      <c r="V306" s="74"/>
      <c r="W306" s="69"/>
      <c r="X306" s="27">
        <v>45446</v>
      </c>
      <c r="Y306" s="28" t="s">
        <v>58</v>
      </c>
      <c r="Z306" s="120" t="str">
        <f>IF(Tableau3384[[#This Row],[Méthode du paiement]]="Mastercard","OUI","")</f>
        <v/>
      </c>
      <c r="AA306" s="158" t="s">
        <v>4</v>
      </c>
      <c r="AB306" s="6" t="s">
        <v>414</v>
      </c>
    </row>
    <row r="307" spans="1:28" hidden="1" x14ac:dyDescent="0.25">
      <c r="A307" s="9" t="s">
        <v>569</v>
      </c>
      <c r="B307" s="21">
        <v>45415</v>
      </c>
      <c r="C307" s="21">
        <v>45420</v>
      </c>
      <c r="D307" s="22" t="s">
        <v>42</v>
      </c>
      <c r="E307" s="11">
        <v>72</v>
      </c>
      <c r="F307" s="88">
        <v>8.1</v>
      </c>
      <c r="G307" s="80"/>
      <c r="H307" s="136">
        <f>Tableau3384[[#This Row],[Montant
CHF]]+Tableau3384[[#This Row],[Abzug/Spesen
CHF]]</f>
        <v>72</v>
      </c>
      <c r="I307" s="39"/>
      <c r="J307" s="40"/>
      <c r="K307" s="189"/>
      <c r="L307" s="298"/>
      <c r="M307" s="81"/>
      <c r="N307" s="21">
        <v>45445</v>
      </c>
      <c r="O307" s="282" t="str">
        <f>IF(Tableau3384[[#This Row],[Date du paiement]]&gt;0,"",Tableau3384[[#This Row],[Montant
CHF]])</f>
        <v/>
      </c>
      <c r="P307" s="276" t="str">
        <f>IF(Tableau3384[[#This Row],[Date du paiement]]="",$B$4-Tableau3384[[#This Row],[Écheance]],"")</f>
        <v/>
      </c>
      <c r="Q307" s="168" t="str">
        <f>IF(Tableau3384[[#This Row],[Date du paiement]]="",IF(Tableau3384[[#This Row],[jours jusqu''à l''écheance]]&gt;0,Tableau3384[[#This Row],[Montant
CHF]],""),"")</f>
        <v/>
      </c>
      <c r="R307" s="298" t="str">
        <f>IF(Tableau3384[[#This Row],[Date du paiement]]="",IF(Tableau3384[[#This Row],[jours jusqu''à l''écheance]]-($B$4-$B$11-1)&gt;0,Tableau3384[[#This Row],[Montant
CHF]],""),"")</f>
        <v/>
      </c>
      <c r="S307" s="142"/>
      <c r="T307" s="95" t="str">
        <f>IF(Tableau3384[[#This Row],[Paiements prevus]]="oui",Tableau3384[[#This Row],[Montant prevu à payer CH]],"")</f>
        <v/>
      </c>
      <c r="U307" s="129"/>
      <c r="V307" s="73"/>
      <c r="W307" s="68"/>
      <c r="X307" s="23">
        <v>45453</v>
      </c>
      <c r="Y307" s="7" t="s">
        <v>58</v>
      </c>
      <c r="Z307" s="120" t="str">
        <f>IF(Tableau3384[[#This Row],[Méthode du paiement]]="Mastercard","OUI","")</f>
        <v/>
      </c>
      <c r="AA307" s="6" t="s">
        <v>43</v>
      </c>
      <c r="AB307" s="6" t="s">
        <v>570</v>
      </c>
    </row>
    <row r="308" spans="1:28" hidden="1" x14ac:dyDescent="0.25">
      <c r="A308" s="182" t="s">
        <v>587</v>
      </c>
      <c r="B308" s="21">
        <v>45415</v>
      </c>
      <c r="C308" s="185">
        <v>45435</v>
      </c>
      <c r="D308" s="186" t="s">
        <v>48</v>
      </c>
      <c r="E308" s="11">
        <v>56.75</v>
      </c>
      <c r="F308" s="195">
        <v>8.1</v>
      </c>
      <c r="G308" s="193"/>
      <c r="H308" s="136">
        <f>Tableau3384[[#This Row],[Montant
CHF]]+Tableau3384[[#This Row],[Abzug/Spesen
CHF]]</f>
        <v>56.75</v>
      </c>
      <c r="I308" s="188"/>
      <c r="J308" s="189"/>
      <c r="K308" s="189"/>
      <c r="L308" s="298"/>
      <c r="M308" s="194"/>
      <c r="N308" s="21">
        <v>45435</v>
      </c>
      <c r="O308" s="282" t="str">
        <f>IF(Tableau3384[[#This Row],[Date du paiement]]&gt;0,"",Tableau3384[[#This Row],[Montant
CHF]])</f>
        <v/>
      </c>
      <c r="P308" s="276" t="str">
        <f>IF(Tableau3384[[#This Row],[Date du paiement]]="",$B$4-Tableau3384[[#This Row],[Écheance]],"")</f>
        <v/>
      </c>
      <c r="Q308" s="168" t="str">
        <f>IF(Tableau3384[[#This Row],[Date du paiement]]="",IF(Tableau3384[[#This Row],[jours jusqu''à l''écheance]]&gt;0,Tableau3384[[#This Row],[Montant
CHF]],""),"")</f>
        <v/>
      </c>
      <c r="R308" s="298" t="str">
        <f>IF(Tableau3384[[#This Row],[Date du paiement]]="",IF(Tableau3384[[#This Row],[jours jusqu''à l''écheance]]-($B$4-$B$11-1)&gt;0,Tableau3384[[#This Row],[Montant
CHF]],""),"")</f>
        <v/>
      </c>
      <c r="S308" s="142"/>
      <c r="T308" s="95" t="str">
        <f>IF(Tableau3384[[#This Row],[Paiements prevus]]="oui",Tableau3384[[#This Row],[Montant prevu à payer CH]],"")</f>
        <v/>
      </c>
      <c r="U308" s="176"/>
      <c r="V308" s="192"/>
      <c r="W308" s="190"/>
      <c r="X308" s="187">
        <v>45453</v>
      </c>
      <c r="Y308" s="181" t="s">
        <v>58</v>
      </c>
      <c r="Z308" s="120" t="str">
        <f>IF(Tableau3384[[#This Row],[Méthode du paiement]]="Mastercard","OUI","")</f>
        <v/>
      </c>
      <c r="AA308" s="180" t="s">
        <v>39</v>
      </c>
      <c r="AB308" s="6" t="s">
        <v>195</v>
      </c>
    </row>
    <row r="309" spans="1:28" hidden="1" x14ac:dyDescent="0.25">
      <c r="A309" s="182" t="s">
        <v>543</v>
      </c>
      <c r="B309" s="21">
        <v>45419</v>
      </c>
      <c r="C309" s="185">
        <v>45419</v>
      </c>
      <c r="D309" s="186" t="s">
        <v>25</v>
      </c>
      <c r="E309" s="11">
        <v>40</v>
      </c>
      <c r="F309" s="195">
        <v>0</v>
      </c>
      <c r="G309" s="193"/>
      <c r="H309" s="136">
        <f>Tableau3384[[#This Row],[Montant
CHF]]+Tableau3384[[#This Row],[Abzug/Spesen
CHF]]</f>
        <v>40</v>
      </c>
      <c r="I309" s="188"/>
      <c r="J309" s="189"/>
      <c r="K309" s="189"/>
      <c r="L309" s="298"/>
      <c r="M309" s="194"/>
      <c r="N309" s="21">
        <v>45439</v>
      </c>
      <c r="O309" s="282" t="str">
        <f>IF(Tableau3384[[#This Row],[Date du paiement]]&gt;0,"",Tableau3384[[#This Row],[Montant
CHF]])</f>
        <v/>
      </c>
      <c r="P309" s="276" t="str">
        <f>IF(Tableau3384[[#This Row],[Date du paiement]]="",$B$4-Tableau3384[[#This Row],[Écheance]],"")</f>
        <v/>
      </c>
      <c r="Q309" s="168" t="str">
        <f>IF(Tableau3384[[#This Row],[Date du paiement]]="",IF(Tableau3384[[#This Row],[jours jusqu''à l''écheance]]&gt;0,Tableau3384[[#This Row],[Montant
CHF]],""),"")</f>
        <v/>
      </c>
      <c r="R309" s="298" t="str">
        <f>IF(Tableau3384[[#This Row],[Date du paiement]]="",IF(Tableau3384[[#This Row],[jours jusqu''à l''écheance]]-($B$4-$B$11-1)&gt;0,Tableau3384[[#This Row],[Montant
CHF]],""),"")</f>
        <v/>
      </c>
      <c r="S309" s="142"/>
      <c r="T309" s="95" t="str">
        <f>IF(Tableau3384[[#This Row],[Paiements prevus]]="oui",Tableau3384[[#This Row],[Montant prevu à payer CH]],"")</f>
        <v/>
      </c>
      <c r="U309" s="176"/>
      <c r="V309" s="192"/>
      <c r="W309" s="190"/>
      <c r="X309" s="187">
        <v>45453</v>
      </c>
      <c r="Y309" s="181" t="s">
        <v>58</v>
      </c>
      <c r="Z309" s="120" t="str">
        <f>IF(Tableau3384[[#This Row],[Méthode du paiement]]="Mastercard","OUI","")</f>
        <v/>
      </c>
      <c r="AA309" s="180" t="s">
        <v>26</v>
      </c>
      <c r="AB309" s="6" t="s">
        <v>544</v>
      </c>
    </row>
    <row r="310" spans="1:28" hidden="1" x14ac:dyDescent="0.25">
      <c r="A310" s="9" t="s">
        <v>546</v>
      </c>
      <c r="B310" s="21">
        <v>45419</v>
      </c>
      <c r="C310" s="21">
        <v>45419</v>
      </c>
      <c r="D310" s="22" t="s">
        <v>196</v>
      </c>
      <c r="E310" s="11">
        <v>771.85</v>
      </c>
      <c r="F310" s="88">
        <v>8.1</v>
      </c>
      <c r="G310" s="80"/>
      <c r="H310" s="136">
        <f>Tableau3384[[#This Row],[Montant
CHF]]+Tableau3384[[#This Row],[Abzug/Spesen
CHF]]</f>
        <v>771.85</v>
      </c>
      <c r="I310" s="39"/>
      <c r="J310" s="40"/>
      <c r="K310" s="189"/>
      <c r="L310" s="298"/>
      <c r="M310" s="81" t="s">
        <v>547</v>
      </c>
      <c r="N310" s="21">
        <v>45429</v>
      </c>
      <c r="O310" s="282" t="str">
        <f>IF(Tableau3384[[#This Row],[Date du paiement]]&gt;0,"",Tableau3384[[#This Row],[Montant
CHF]])</f>
        <v/>
      </c>
      <c r="P310" s="276" t="str">
        <f>IF(Tableau3384[[#This Row],[Date du paiement]]="",$B$4-Tableau3384[[#This Row],[Écheance]],"")</f>
        <v/>
      </c>
      <c r="Q310" s="168" t="str">
        <f>IF(Tableau3384[[#This Row],[Date du paiement]]="",IF(Tableau3384[[#This Row],[jours jusqu''à l''écheance]]&gt;0,Tableau3384[[#This Row],[Montant
CHF]],""),"")</f>
        <v/>
      </c>
      <c r="R310" s="298" t="str">
        <f>IF(Tableau3384[[#This Row],[Date du paiement]]="",IF(Tableau3384[[#This Row],[jours jusqu''à l''écheance]]-($B$4-$B$11-1)&gt;0,Tableau3384[[#This Row],[Montant
CHF]],""),"")</f>
        <v/>
      </c>
      <c r="S310" s="142"/>
      <c r="T310" s="95" t="str">
        <f>IF(Tableau3384[[#This Row],[Paiements prevus]]="oui",Tableau3384[[#This Row],[Montant prevu à payer CH]],"")</f>
        <v/>
      </c>
      <c r="U310" s="129"/>
      <c r="V310" s="73"/>
      <c r="W310" s="68"/>
      <c r="X310" s="23">
        <v>45453</v>
      </c>
      <c r="Y310" s="7" t="s">
        <v>58</v>
      </c>
      <c r="Z310" s="120" t="str">
        <f>IF(Tableau3384[[#This Row],[Méthode du paiement]]="Mastercard","OUI","")</f>
        <v/>
      </c>
      <c r="AA310" s="6" t="s">
        <v>4</v>
      </c>
      <c r="AB310" s="6" t="s">
        <v>548</v>
      </c>
    </row>
    <row r="311" spans="1:28" hidden="1" x14ac:dyDescent="0.25">
      <c r="A311" s="9" t="s">
        <v>555</v>
      </c>
      <c r="B311" s="21">
        <v>45419</v>
      </c>
      <c r="C311" s="21">
        <v>45420</v>
      </c>
      <c r="D311" s="22" t="s">
        <v>92</v>
      </c>
      <c r="E311" s="11">
        <v>39.299999999999997</v>
      </c>
      <c r="F311" s="88">
        <v>8.1</v>
      </c>
      <c r="G311" s="80"/>
      <c r="H311" s="136">
        <f>Tableau3384[[#This Row],[Montant
CHF]]+Tableau3384[[#This Row],[Abzug/Spesen
CHF]]</f>
        <v>39.299999999999997</v>
      </c>
      <c r="I311" s="39"/>
      <c r="J311" s="40"/>
      <c r="K311" s="189"/>
      <c r="L311" s="298"/>
      <c r="M311" s="81"/>
      <c r="N311" s="21">
        <v>45429</v>
      </c>
      <c r="O311" s="282" t="str">
        <f>IF(Tableau3384[[#This Row],[Date du paiement]]&gt;0,"",Tableau3384[[#This Row],[Montant
CHF]])</f>
        <v/>
      </c>
      <c r="P311" s="276" t="str">
        <f>IF(Tableau3384[[#This Row],[Date du paiement]]="",$B$4-Tableau3384[[#This Row],[Écheance]],"")</f>
        <v/>
      </c>
      <c r="Q311" s="168" t="str">
        <f>IF(Tableau3384[[#This Row],[Date du paiement]]="",IF(Tableau3384[[#This Row],[jours jusqu''à l''écheance]]&gt;0,Tableau3384[[#This Row],[Montant
CHF]],""),"")</f>
        <v/>
      </c>
      <c r="R311" s="298" t="str">
        <f>IF(Tableau3384[[#This Row],[Date du paiement]]="",IF(Tableau3384[[#This Row],[jours jusqu''à l''écheance]]-($B$4-$B$11-1)&gt;0,Tableau3384[[#This Row],[Montant
CHF]],""),"")</f>
        <v/>
      </c>
      <c r="S311" s="142"/>
      <c r="T311" s="95" t="str">
        <f>IF(Tableau3384[[#This Row],[Paiements prevus]]="oui",Tableau3384[[#This Row],[Montant prevu à payer CH]],"")</f>
        <v/>
      </c>
      <c r="U311" s="129"/>
      <c r="V311" s="73"/>
      <c r="W311" s="68"/>
      <c r="X311" s="23">
        <v>45453</v>
      </c>
      <c r="Y311" s="7" t="s">
        <v>58</v>
      </c>
      <c r="Z311" s="120" t="str">
        <f>IF(Tableau3384[[#This Row],[Méthode du paiement]]="Mastercard","OUI","")</f>
        <v/>
      </c>
      <c r="AA311" s="6" t="s">
        <v>14</v>
      </c>
      <c r="AB311" s="6" t="s">
        <v>556</v>
      </c>
    </row>
    <row r="312" spans="1:28" s="15" customFormat="1" hidden="1" x14ac:dyDescent="0.25">
      <c r="A312" s="9" t="s">
        <v>553</v>
      </c>
      <c r="B312" s="21">
        <v>45420</v>
      </c>
      <c r="C312" s="21">
        <v>45420</v>
      </c>
      <c r="D312" s="22" t="s">
        <v>25</v>
      </c>
      <c r="E312" s="11">
        <v>40</v>
      </c>
      <c r="F312" s="88">
        <v>0</v>
      </c>
      <c r="G312" s="80"/>
      <c r="H312" s="136">
        <f>Tableau3384[[#This Row],[Montant
CHF]]+Tableau3384[[#This Row],[Abzug/Spesen
CHF]]</f>
        <v>40</v>
      </c>
      <c r="I312" s="39"/>
      <c r="J312" s="40"/>
      <c r="K312" s="189"/>
      <c r="L312" s="298"/>
      <c r="M312" s="81"/>
      <c r="N312" s="21">
        <v>45440</v>
      </c>
      <c r="O312" s="282" t="str">
        <f>IF(Tableau3384[[#This Row],[Date du paiement]]&gt;0,"",Tableau3384[[#This Row],[Montant
CHF]])</f>
        <v/>
      </c>
      <c r="P312" s="276" t="str">
        <f>IF(Tableau3384[[#This Row],[Date du paiement]]="",$B$4-Tableau3384[[#This Row],[Écheance]],"")</f>
        <v/>
      </c>
      <c r="Q312" s="168" t="str">
        <f>IF(Tableau3384[[#This Row],[Date du paiement]]="",IF(Tableau3384[[#This Row],[jours jusqu''à l''écheance]]&gt;0,Tableau3384[[#This Row],[Montant
CHF]],""),"")</f>
        <v/>
      </c>
      <c r="R312" s="298" t="str">
        <f>IF(Tableau3384[[#This Row],[Date du paiement]]="",IF(Tableau3384[[#This Row],[jours jusqu''à l''écheance]]-($B$4-$B$11-1)&gt;0,Tableau3384[[#This Row],[Montant
CHF]],""),"")</f>
        <v/>
      </c>
      <c r="S312" s="142"/>
      <c r="T312" s="95" t="str">
        <f>IF(Tableau3384[[#This Row],[Paiements prevus]]="oui",Tableau3384[[#This Row],[Montant prevu à payer CH]],"")</f>
        <v/>
      </c>
      <c r="U312" s="176"/>
      <c r="V312" s="73"/>
      <c r="W312" s="68"/>
      <c r="X312" s="23">
        <v>45453</v>
      </c>
      <c r="Y312" s="7" t="s">
        <v>58</v>
      </c>
      <c r="Z312" s="120" t="str">
        <f>IF(Tableau3384[[#This Row],[Méthode du paiement]]="Mastercard","OUI","")</f>
        <v/>
      </c>
      <c r="AA312" s="6" t="s">
        <v>26</v>
      </c>
      <c r="AB312" s="6" t="s">
        <v>554</v>
      </c>
    </row>
    <row r="313" spans="1:28" hidden="1" x14ac:dyDescent="0.25">
      <c r="A313" s="9" t="s">
        <v>562</v>
      </c>
      <c r="B313" s="21">
        <v>45420</v>
      </c>
      <c r="C313" s="21">
        <v>45425</v>
      </c>
      <c r="D313" s="22" t="s">
        <v>10</v>
      </c>
      <c r="E313" s="11">
        <v>1279.8499999999999</v>
      </c>
      <c r="F313" s="88">
        <v>8.1</v>
      </c>
      <c r="G313" s="80"/>
      <c r="H313" s="136">
        <f>Tableau3384[[#This Row],[Montant
CHF]]+Tableau3384[[#This Row],[Abzug/Spesen
CHF]]</f>
        <v>1279.8499999999999</v>
      </c>
      <c r="I313" s="39"/>
      <c r="J313" s="40"/>
      <c r="K313" s="189"/>
      <c r="L313" s="298"/>
      <c r="M313" s="81"/>
      <c r="N313" s="21">
        <v>45451</v>
      </c>
      <c r="O313" s="282" t="str">
        <f>IF(Tableau3384[[#This Row],[Date du paiement]]&gt;0,"",Tableau3384[[#This Row],[Montant
CHF]])</f>
        <v/>
      </c>
      <c r="P313" s="276" t="str">
        <f>IF(Tableau3384[[#This Row],[Date du paiement]]="",$B$4-Tableau3384[[#This Row],[Écheance]],"")</f>
        <v/>
      </c>
      <c r="Q313" s="168" t="str">
        <f>IF(Tableau3384[[#This Row],[Date du paiement]]="",IF(Tableau3384[[#This Row],[jours jusqu''à l''écheance]]&gt;0,Tableau3384[[#This Row],[Montant
CHF]],""),"")</f>
        <v/>
      </c>
      <c r="R313" s="298" t="str">
        <f>IF(Tableau3384[[#This Row],[Date du paiement]]="",IF(Tableau3384[[#This Row],[jours jusqu''à l''écheance]]-($B$4-$B$11-1)&gt;0,Tableau3384[[#This Row],[Montant
CHF]],""),"")</f>
        <v/>
      </c>
      <c r="S313" s="142"/>
      <c r="T313" s="95" t="str">
        <f>IF(Tableau3384[[#This Row],[Paiements prevus]]="oui",Tableau3384[[#This Row],[Montant prevu à payer CH]],"")</f>
        <v/>
      </c>
      <c r="U313" s="129"/>
      <c r="V313" s="73"/>
      <c r="W313" s="68"/>
      <c r="X313" s="23">
        <v>45453</v>
      </c>
      <c r="Y313" s="7" t="s">
        <v>58</v>
      </c>
      <c r="Z313" s="120" t="str">
        <f>IF(Tableau3384[[#This Row],[Méthode du paiement]]="Mastercard","OUI","")</f>
        <v/>
      </c>
      <c r="AA313" s="6" t="s">
        <v>294</v>
      </c>
      <c r="AB313" s="6" t="s">
        <v>563</v>
      </c>
    </row>
    <row r="314" spans="1:28" hidden="1" x14ac:dyDescent="0.25">
      <c r="A314" s="9" t="s">
        <v>564</v>
      </c>
      <c r="B314" s="21">
        <v>45420</v>
      </c>
      <c r="C314" s="21">
        <v>45425</v>
      </c>
      <c r="D314" s="22" t="s">
        <v>13</v>
      </c>
      <c r="E314" s="11">
        <f>Tableau3384[[#This Row],[Montant
EUR]]*Tableau3384[[#This Row],[Taux 
de change]]</f>
        <v>16423.8340752</v>
      </c>
      <c r="F314" s="88">
        <v>0</v>
      </c>
      <c r="G314" s="80"/>
      <c r="H314" s="136">
        <f>Tableau3384[[#This Row],[Montant
CHF]]+Tableau3384[[#This Row],[Abzug/Spesen
CHF]]</f>
        <v>16423.8340752</v>
      </c>
      <c r="I314" s="39">
        <v>0.97463999999999995</v>
      </c>
      <c r="J314" s="40">
        <v>16851.18</v>
      </c>
      <c r="K314" s="189"/>
      <c r="L314" s="298"/>
      <c r="M314" s="81"/>
      <c r="N314" s="21">
        <v>45481</v>
      </c>
      <c r="O314" s="282" t="str">
        <f>IF(Tableau3384[[#This Row],[Date du paiement]]&gt;0,"",Tableau3384[[#This Row],[Montant
CHF]])</f>
        <v/>
      </c>
      <c r="P314" s="276" t="str">
        <f>IF(Tableau3384[[#This Row],[Date du paiement]]="",$B$4-Tableau3384[[#This Row],[Écheance]],"")</f>
        <v/>
      </c>
      <c r="Q314" s="168" t="str">
        <f>IF(Tableau3384[[#This Row],[Date du paiement]]="",IF(Tableau3384[[#This Row],[jours jusqu''à l''écheance]]&gt;0,Tableau3384[[#This Row],[Montant
CHF]],""),"")</f>
        <v/>
      </c>
      <c r="R314" s="298" t="str">
        <f>IF(Tableau3384[[#This Row],[Date du paiement]]="",IF(Tableau3384[[#This Row],[jours jusqu''à l''écheance]]-($B$4-$B$11-1)&gt;0,Tableau3384[[#This Row],[Montant
CHF]],""),"")</f>
        <v/>
      </c>
      <c r="S314" s="142"/>
      <c r="T314" s="95" t="str">
        <f>IF(Tableau3384[[#This Row],[Paiements prevus]]="oui",Tableau3384[[#This Row],[Montant prevu à payer CH]],"")</f>
        <v/>
      </c>
      <c r="U314" s="176"/>
      <c r="V314" s="73" t="s">
        <v>737</v>
      </c>
      <c r="W314" s="68"/>
      <c r="X314" s="23">
        <v>45482</v>
      </c>
      <c r="Y314" s="7" t="s">
        <v>58</v>
      </c>
      <c r="Z314" s="120" t="str">
        <f>IF(Tableau3384[[#This Row],[Méthode du paiement]]="Mastercard","OUI","")</f>
        <v/>
      </c>
      <c r="AA314" s="6" t="s">
        <v>14</v>
      </c>
      <c r="AB314" s="6" t="s">
        <v>565</v>
      </c>
    </row>
    <row r="315" spans="1:28" hidden="1" x14ac:dyDescent="0.25">
      <c r="A315" s="9" t="s">
        <v>560</v>
      </c>
      <c r="B315" s="21">
        <v>45422</v>
      </c>
      <c r="C315" s="21">
        <v>45425</v>
      </c>
      <c r="D315" s="22" t="s">
        <v>35</v>
      </c>
      <c r="E315" s="11">
        <v>3461.25</v>
      </c>
      <c r="F315" s="88">
        <v>0</v>
      </c>
      <c r="G315" s="80"/>
      <c r="H315" s="136">
        <f>Tableau3384[[#This Row],[Montant
CHF]]+Tableau3384[[#This Row],[Abzug/Spesen
CHF]]</f>
        <v>3461.25</v>
      </c>
      <c r="I315" s="39"/>
      <c r="J315" s="40"/>
      <c r="K315" s="189"/>
      <c r="L315" s="298"/>
      <c r="M315" s="81" t="s">
        <v>1256</v>
      </c>
      <c r="N315" s="21">
        <v>45453</v>
      </c>
      <c r="O315" s="282" t="str">
        <f>IF(Tableau3384[[#This Row],[Date du paiement]]&gt;0,"",Tableau3384[[#This Row],[Montant
CHF]])</f>
        <v/>
      </c>
      <c r="P315" s="276" t="str">
        <f>IF(Tableau3384[[#This Row],[Date du paiement]]="",$B$4-Tableau3384[[#This Row],[Écheance]],"")</f>
        <v/>
      </c>
      <c r="Q315" s="168" t="str">
        <f>IF(Tableau3384[[#This Row],[Date du paiement]]="",IF(Tableau3384[[#This Row],[jours jusqu''à l''écheance]]&gt;0,Tableau3384[[#This Row],[Montant
CHF]],""),"")</f>
        <v/>
      </c>
      <c r="R315" s="298" t="str">
        <f>IF(Tableau3384[[#This Row],[Date du paiement]]="",IF(Tableau3384[[#This Row],[jours jusqu''à l''écheance]]-($B$4-$B$11-1)&gt;0,Tableau3384[[#This Row],[Montant
CHF]],""),"")</f>
        <v/>
      </c>
      <c r="S315" s="142"/>
      <c r="T315" s="95" t="str">
        <f>IF(Tableau3384[[#This Row],[Paiements prevus]]="oui",Tableau3384[[#This Row],[Montant prevu à payer CH]],"")</f>
        <v/>
      </c>
      <c r="U315" s="176"/>
      <c r="V315" s="73"/>
      <c r="W315" s="68"/>
      <c r="X315" s="23">
        <v>45453</v>
      </c>
      <c r="Y315" s="7" t="s">
        <v>58</v>
      </c>
      <c r="Z315" s="120" t="str">
        <f>IF(Tableau3384[[#This Row],[Méthode du paiement]]="Mastercard","OUI","")</f>
        <v/>
      </c>
      <c r="AA315" s="6" t="s">
        <v>4</v>
      </c>
      <c r="AB315" s="6" t="s">
        <v>561</v>
      </c>
    </row>
    <row r="316" spans="1:28" hidden="1" x14ac:dyDescent="0.25">
      <c r="A316" s="182" t="s">
        <v>56</v>
      </c>
      <c r="B316" s="21">
        <v>45422</v>
      </c>
      <c r="C316" s="185">
        <v>45426</v>
      </c>
      <c r="D316" s="186" t="s">
        <v>57</v>
      </c>
      <c r="E316" s="11">
        <v>409.6</v>
      </c>
      <c r="F316" s="195" t="s">
        <v>0</v>
      </c>
      <c r="G316" s="193"/>
      <c r="H316" s="136">
        <f>Tableau3384[[#This Row],[Montant
CHF]]+Tableau3384[[#This Row],[Abzug/Spesen
CHF]]</f>
        <v>409.6</v>
      </c>
      <c r="I316" s="188"/>
      <c r="J316" s="189"/>
      <c r="K316" s="189"/>
      <c r="L316" s="298"/>
      <c r="M316" s="194"/>
      <c r="N316" s="21">
        <v>45442</v>
      </c>
      <c r="O316" s="282" t="str">
        <f>IF(Tableau3384[[#This Row],[Date du paiement]]&gt;0,"",Tableau3384[[#This Row],[Montant
CHF]])</f>
        <v/>
      </c>
      <c r="P316" s="276" t="str">
        <f>IF(Tableau3384[[#This Row],[Date du paiement]]="",$B$4-Tableau3384[[#This Row],[Écheance]],"")</f>
        <v/>
      </c>
      <c r="Q316" s="168" t="str">
        <f>IF(Tableau3384[[#This Row],[Date du paiement]]="",IF(Tableau3384[[#This Row],[jours jusqu''à l''écheance]]&gt;0,Tableau3384[[#This Row],[Montant
CHF]],""),"")</f>
        <v/>
      </c>
      <c r="R316" s="298" t="str">
        <f>IF(Tableau3384[[#This Row],[Date du paiement]]="",IF(Tableau3384[[#This Row],[jours jusqu''à l''écheance]]-($B$4-$B$11-1)&gt;0,Tableau3384[[#This Row],[Montant
CHF]],""),"")</f>
        <v/>
      </c>
      <c r="S316" s="142"/>
      <c r="T316" s="95" t="str">
        <f>IF(Tableau3384[[#This Row],[Paiements prevus]]="oui",Tableau3384[[#This Row],[Montant prevu à payer CH]],"")</f>
        <v/>
      </c>
      <c r="U316" s="176"/>
      <c r="V316" s="192"/>
      <c r="W316" s="190"/>
      <c r="X316" s="187">
        <v>45442</v>
      </c>
      <c r="Y316" s="181" t="s">
        <v>58</v>
      </c>
      <c r="Z316" s="120" t="str">
        <f>IF(Tableau3384[[#This Row],[Méthode du paiement]]="Mastercard","OUI","")</f>
        <v/>
      </c>
      <c r="AA316" s="180" t="s">
        <v>43</v>
      </c>
      <c r="AB316" s="6" t="s">
        <v>195</v>
      </c>
    </row>
    <row r="317" spans="1:28" hidden="1" x14ac:dyDescent="0.25">
      <c r="A317" s="9" t="s">
        <v>566</v>
      </c>
      <c r="B317" s="21">
        <v>45423</v>
      </c>
      <c r="C317" s="21">
        <v>45425</v>
      </c>
      <c r="D317" s="22" t="s">
        <v>22</v>
      </c>
      <c r="E317" s="11">
        <v>219.35</v>
      </c>
      <c r="F317" s="88">
        <v>8.1</v>
      </c>
      <c r="G317" s="80"/>
      <c r="H317" s="136">
        <f>Tableau3384[[#This Row],[Montant
CHF]]+Tableau3384[[#This Row],[Abzug/Spesen
CHF]]</f>
        <v>219.35</v>
      </c>
      <c r="I317" s="39"/>
      <c r="J317" s="40"/>
      <c r="K317" s="189"/>
      <c r="L317" s="298"/>
      <c r="M317" s="81"/>
      <c r="N317" s="21">
        <v>45453</v>
      </c>
      <c r="O317" s="282" t="str">
        <f>IF(Tableau3384[[#This Row],[Date du paiement]]&gt;0,"",Tableau3384[[#This Row],[Montant
CHF]])</f>
        <v/>
      </c>
      <c r="P317" s="276" t="str">
        <f>IF(Tableau3384[[#This Row],[Date du paiement]]="",$B$4-Tableau3384[[#This Row],[Écheance]],"")</f>
        <v/>
      </c>
      <c r="Q317" s="168" t="str">
        <f>IF(Tableau3384[[#This Row],[Date du paiement]]="",IF(Tableau3384[[#This Row],[jours jusqu''à l''écheance]]&gt;0,Tableau3384[[#This Row],[Montant
CHF]],""),"")</f>
        <v/>
      </c>
      <c r="R317" s="298" t="str">
        <f>IF(Tableau3384[[#This Row],[Date du paiement]]="",IF(Tableau3384[[#This Row],[jours jusqu''à l''écheance]]-($B$4-$B$11-1)&gt;0,Tableau3384[[#This Row],[Montant
CHF]],""),"")</f>
        <v/>
      </c>
      <c r="S317" s="142"/>
      <c r="T317" s="95" t="str">
        <f>IF(Tableau3384[[#This Row],[Paiements prevus]]="oui",Tableau3384[[#This Row],[Montant prevu à payer CH]],"")</f>
        <v/>
      </c>
      <c r="U317" s="129"/>
      <c r="V317" s="73"/>
      <c r="W317" s="68"/>
      <c r="X317" s="23">
        <v>45433</v>
      </c>
      <c r="Y317" s="7" t="s">
        <v>58</v>
      </c>
      <c r="Z317" s="120" t="str">
        <f>IF(Tableau3384[[#This Row],[Méthode du paiement]]="Mastercard","OUI","")</f>
        <v/>
      </c>
      <c r="AA317" s="6" t="s">
        <v>14</v>
      </c>
      <c r="AB317" s="6" t="s">
        <v>567</v>
      </c>
    </row>
    <row r="318" spans="1:28" hidden="1" x14ac:dyDescent="0.25">
      <c r="A318" s="9" t="s">
        <v>580</v>
      </c>
      <c r="B318" s="21">
        <v>45425</v>
      </c>
      <c r="C318" s="21">
        <v>45427</v>
      </c>
      <c r="D318" s="22" t="s">
        <v>581</v>
      </c>
      <c r="E318" s="11">
        <v>2365</v>
      </c>
      <c r="F318" s="88" t="s">
        <v>0</v>
      </c>
      <c r="G318" s="80"/>
      <c r="H318" s="136">
        <f>Tableau3384[[#This Row],[Montant
CHF]]+Tableau3384[[#This Row],[Abzug/Spesen
CHF]]</f>
        <v>2365</v>
      </c>
      <c r="I318" s="39"/>
      <c r="J318" s="40"/>
      <c r="K318" s="189"/>
      <c r="L318" s="298"/>
      <c r="M318" s="81"/>
      <c r="N318" s="21">
        <v>45432</v>
      </c>
      <c r="O318" s="282" t="str">
        <f>IF(Tableau3384[[#This Row],[Date du paiement]]&gt;0,"",Tableau3384[[#This Row],[Montant
CHF]])</f>
        <v/>
      </c>
      <c r="P318" s="276" t="str">
        <f>IF(Tableau3384[[#This Row],[Date du paiement]]="",$B$4-Tableau3384[[#This Row],[Écheance]],"")</f>
        <v/>
      </c>
      <c r="Q318" s="168" t="str">
        <f>IF(Tableau3384[[#This Row],[Date du paiement]]="",IF(Tableau3384[[#This Row],[jours jusqu''à l''écheance]]&gt;0,Tableau3384[[#This Row],[Montant
CHF]],""),"")</f>
        <v/>
      </c>
      <c r="R318" s="298" t="str">
        <f>IF(Tableau3384[[#This Row],[Date du paiement]]="",IF(Tableau3384[[#This Row],[jours jusqu''à l''écheance]]-($B$4-$B$11-1)&gt;0,Tableau3384[[#This Row],[Montant
CHF]],""),"")</f>
        <v/>
      </c>
      <c r="S318" s="142"/>
      <c r="T318" s="95" t="str">
        <f>IF(Tableau3384[[#This Row],[Paiements prevus]]="oui",Tableau3384[[#This Row],[Montant prevu à payer CH]],"")</f>
        <v/>
      </c>
      <c r="U318" s="129"/>
      <c r="V318" s="73">
        <v>1064</v>
      </c>
      <c r="W318" s="68"/>
      <c r="X318" s="23">
        <v>45433</v>
      </c>
      <c r="Y318" s="7" t="s">
        <v>58</v>
      </c>
      <c r="Z318" s="120" t="str">
        <f>IF(Tableau3384[[#This Row],[Méthode du paiement]]="Mastercard","OUI","")</f>
        <v/>
      </c>
      <c r="AA318" s="6" t="s">
        <v>14</v>
      </c>
      <c r="AB318" s="6" t="s">
        <v>582</v>
      </c>
    </row>
    <row r="319" spans="1:28" hidden="1" x14ac:dyDescent="0.25">
      <c r="A319" s="9" t="s">
        <v>685</v>
      </c>
      <c r="B319" s="21">
        <v>45425</v>
      </c>
      <c r="C319" s="21">
        <v>45446</v>
      </c>
      <c r="D319" s="22" t="s">
        <v>686</v>
      </c>
      <c r="E319" s="11">
        <v>38.700000000000003</v>
      </c>
      <c r="F319" s="88">
        <v>8.1</v>
      </c>
      <c r="G319" s="80"/>
      <c r="H319" s="136">
        <f>Tableau3384[[#This Row],[Montant
CHF]]+Tableau3384[[#This Row],[Abzug/Spesen
CHF]]</f>
        <v>38.700000000000003</v>
      </c>
      <c r="I319" s="39"/>
      <c r="J319" s="40"/>
      <c r="K319" s="189"/>
      <c r="L319" s="298"/>
      <c r="M319" s="81"/>
      <c r="N319" s="21">
        <v>45455</v>
      </c>
      <c r="O319" s="282" t="str">
        <f>IF(Tableau3384[[#This Row],[Date du paiement]]&gt;0,"",Tableau3384[[#This Row],[Montant
CHF]])</f>
        <v/>
      </c>
      <c r="P319" s="276" t="str">
        <f>IF(Tableau3384[[#This Row],[Date du paiement]]="",$B$4-Tableau3384[[#This Row],[Écheance]],"")</f>
        <v/>
      </c>
      <c r="Q319" s="168" t="str">
        <f>IF(Tableau3384[[#This Row],[Date du paiement]]="",IF(Tableau3384[[#This Row],[jours jusqu''à l''écheance]]&gt;0,Tableau3384[[#This Row],[Montant
CHF]],""),"")</f>
        <v/>
      </c>
      <c r="R319" s="298" t="str">
        <f>IF(Tableau3384[[#This Row],[Date du paiement]]="",IF(Tableau3384[[#This Row],[jours jusqu''à l''écheance]]-($B$4-$B$11-1)&gt;0,Tableau3384[[#This Row],[Montant
CHF]],""),"")</f>
        <v/>
      </c>
      <c r="S319" s="142"/>
      <c r="T319" s="95" t="str">
        <f>IF(Tableau3384[[#This Row],[Paiements prevus]]="oui",Tableau3384[[#This Row],[Montant prevu à payer CH]],"")</f>
        <v/>
      </c>
      <c r="U319" s="177"/>
      <c r="V319" s="73" t="s">
        <v>738</v>
      </c>
      <c r="W319" s="68"/>
      <c r="X319" s="23">
        <v>45462</v>
      </c>
      <c r="Y319" s="7" t="s">
        <v>58</v>
      </c>
      <c r="Z319" s="120" t="str">
        <f>IF(Tableau3384[[#This Row],[Méthode du paiement]]="Mastercard","OUI","")</f>
        <v/>
      </c>
      <c r="AA319" s="6" t="s">
        <v>14</v>
      </c>
      <c r="AB319" s="6" t="s">
        <v>687</v>
      </c>
    </row>
    <row r="320" spans="1:28" hidden="1" x14ac:dyDescent="0.25">
      <c r="A320" s="9" t="s">
        <v>607</v>
      </c>
      <c r="B320" s="21">
        <v>45427</v>
      </c>
      <c r="C320" s="21">
        <v>45427</v>
      </c>
      <c r="D320" s="22" t="s">
        <v>216</v>
      </c>
      <c r="E320" s="11">
        <v>2276.1999999999998</v>
      </c>
      <c r="F320" s="88">
        <v>100</v>
      </c>
      <c r="G320" s="80"/>
      <c r="H320" s="136">
        <f>Tableau3384[[#This Row],[Montant
CHF]]+Tableau3384[[#This Row],[Abzug/Spesen
CHF]]</f>
        <v>2276.1999999999998</v>
      </c>
      <c r="I320" s="39"/>
      <c r="J320" s="40"/>
      <c r="K320" s="189"/>
      <c r="L320" s="298"/>
      <c r="M320" s="81"/>
      <c r="N320" s="21">
        <v>45488</v>
      </c>
      <c r="O320" s="282" t="str">
        <f>IF(Tableau3384[[#This Row],[Date du paiement]]&gt;0,"",Tableau3384[[#This Row],[Montant
CHF]])</f>
        <v/>
      </c>
      <c r="P320" s="276" t="str">
        <f>IF(Tableau3384[[#This Row],[Date du paiement]]="",$B$4-Tableau3384[[#This Row],[Écheance]],"")</f>
        <v/>
      </c>
      <c r="Q320" s="168" t="str">
        <f>IF(Tableau3384[[#This Row],[Date du paiement]]="",IF(Tableau3384[[#This Row],[jours jusqu''à l''écheance]]&gt;0,Tableau3384[[#This Row],[Montant
CHF]],""),"")</f>
        <v/>
      </c>
      <c r="R320" s="298" t="str">
        <f>IF(Tableau3384[[#This Row],[Date du paiement]]="",IF(Tableau3384[[#This Row],[jours jusqu''à l''écheance]]-($B$4-$B$11-1)&gt;0,Tableau3384[[#This Row],[Montant
CHF]],""),"")</f>
        <v/>
      </c>
      <c r="S320" s="142"/>
      <c r="T320" s="95" t="str">
        <f>IF(Tableau3384[[#This Row],[Paiements prevus]]="oui",Tableau3384[[#This Row],[Montant prevu à payer CH]],"")</f>
        <v/>
      </c>
      <c r="U320" s="176"/>
      <c r="V320" s="73" t="s">
        <v>736</v>
      </c>
      <c r="W320" s="68"/>
      <c r="X320" s="23">
        <v>45492</v>
      </c>
      <c r="Y320" s="7" t="s">
        <v>58</v>
      </c>
      <c r="Z320" s="120" t="str">
        <f>IF(Tableau3384[[#This Row],[Méthode du paiement]]="Mastercard","OUI","")</f>
        <v/>
      </c>
      <c r="AA320" s="6" t="s">
        <v>604</v>
      </c>
      <c r="AB320" s="6" t="s">
        <v>609</v>
      </c>
    </row>
    <row r="321" spans="1:28" hidden="1" x14ac:dyDescent="0.25">
      <c r="A321" s="9" t="s">
        <v>595</v>
      </c>
      <c r="B321" s="21">
        <v>45427</v>
      </c>
      <c r="C321" s="21">
        <v>45433</v>
      </c>
      <c r="D321" s="22" t="s">
        <v>196</v>
      </c>
      <c r="E321" s="11">
        <v>223.45</v>
      </c>
      <c r="F321" s="88">
        <v>8.1</v>
      </c>
      <c r="G321" s="80"/>
      <c r="H321" s="136">
        <f>Tableau3384[[#This Row],[Montant
CHF]]+Tableau3384[[#This Row],[Abzug/Spesen
CHF]]</f>
        <v>223.45</v>
      </c>
      <c r="I321" s="39"/>
      <c r="J321" s="40"/>
      <c r="K321" s="189"/>
      <c r="L321" s="298"/>
      <c r="M321" s="81"/>
      <c r="N321" s="21">
        <v>45437</v>
      </c>
      <c r="O321" s="282" t="str">
        <f>IF(Tableau3384[[#This Row],[Date du paiement]]&gt;0,"",Tableau3384[[#This Row],[Montant
CHF]])</f>
        <v/>
      </c>
      <c r="P321" s="276" t="str">
        <f>IF(Tableau3384[[#This Row],[Date du paiement]]="",$B$4-Tableau3384[[#This Row],[Écheance]],"")</f>
        <v/>
      </c>
      <c r="Q321" s="168" t="str">
        <f>IF(Tableau3384[[#This Row],[Date du paiement]]="",IF(Tableau3384[[#This Row],[jours jusqu''à l''écheance]]&gt;0,Tableau3384[[#This Row],[Montant
CHF]],""),"")</f>
        <v/>
      </c>
      <c r="R321" s="298" t="str">
        <f>IF(Tableau3384[[#This Row],[Date du paiement]]="",IF(Tableau3384[[#This Row],[jours jusqu''à l''écheance]]-($B$4-$B$11-1)&gt;0,Tableau3384[[#This Row],[Montant
CHF]],""),"")</f>
        <v/>
      </c>
      <c r="S321" s="142"/>
      <c r="T321" s="95" t="str">
        <f>IF(Tableau3384[[#This Row],[Paiements prevus]]="oui",Tableau3384[[#This Row],[Montant prevu à payer CH]],"")</f>
        <v/>
      </c>
      <c r="U321" s="176"/>
      <c r="V321" s="73" t="s">
        <v>735</v>
      </c>
      <c r="W321" s="68"/>
      <c r="X321" s="23">
        <v>45461</v>
      </c>
      <c r="Y321" s="7" t="s">
        <v>58</v>
      </c>
      <c r="Z321" s="120" t="str">
        <f>IF(Tableau3384[[#This Row],[Méthode du paiement]]="Mastercard","OUI","")</f>
        <v/>
      </c>
      <c r="AA321" s="6" t="s">
        <v>4</v>
      </c>
      <c r="AB321" s="6" t="s">
        <v>596</v>
      </c>
    </row>
    <row r="322" spans="1:28" hidden="1" x14ac:dyDescent="0.25">
      <c r="A322" s="9" t="s">
        <v>599</v>
      </c>
      <c r="B322" s="21">
        <v>45427</v>
      </c>
      <c r="C322" s="21">
        <v>45433</v>
      </c>
      <c r="D322" s="186" t="s">
        <v>13</v>
      </c>
      <c r="E322" s="11">
        <f>Tableau3384[[#This Row],[Montant
EUR]]*Tableau3384[[#This Row],[Taux 
de change]]</f>
        <v>16865.962327199999</v>
      </c>
      <c r="F322" s="88">
        <v>0</v>
      </c>
      <c r="G322" s="80"/>
      <c r="H322" s="136">
        <f>Tableau3384[[#This Row],[Montant
CHF]]+Tableau3384[[#This Row],[Abzug/Spesen
CHF]]</f>
        <v>16865.962327199999</v>
      </c>
      <c r="I322" s="39">
        <v>0.97829500000000003</v>
      </c>
      <c r="J322" s="40">
        <v>17240.16</v>
      </c>
      <c r="K322" s="189"/>
      <c r="L322" s="298"/>
      <c r="M322" s="81"/>
      <c r="N322" s="21">
        <v>45488</v>
      </c>
      <c r="O322" s="282" t="str">
        <f>IF(Tableau3384[[#This Row],[Date du paiement]]&gt;0,"",Tableau3384[[#This Row],[Montant
CHF]])</f>
        <v/>
      </c>
      <c r="P322" s="276" t="str">
        <f>IF(Tableau3384[[#This Row],[Date du paiement]]="",$B$4-Tableau3384[[#This Row],[Écheance]],"")</f>
        <v/>
      </c>
      <c r="Q322" s="168" t="str">
        <f>IF(Tableau3384[[#This Row],[Date du paiement]]="",IF(Tableau3384[[#This Row],[jours jusqu''à l''écheance]]&gt;0,Tableau3384[[#This Row],[Montant
CHF]],""),"")</f>
        <v/>
      </c>
      <c r="R322" s="298" t="str">
        <f>IF(Tableau3384[[#This Row],[Date du paiement]]="",IF(Tableau3384[[#This Row],[jours jusqu''à l''écheance]]-($B$4-$B$11-1)&gt;0,Tableau3384[[#This Row],[Montant
CHF]],""),"")</f>
        <v/>
      </c>
      <c r="S322" s="142"/>
      <c r="T322" s="95" t="str">
        <f>IF(Tableau3384[[#This Row],[Paiements prevus]]="oui",Tableau3384[[#This Row],[Montant prevu à payer CH]],"")</f>
        <v/>
      </c>
      <c r="U322" s="176"/>
      <c r="V322" s="73" t="s">
        <v>737</v>
      </c>
      <c r="W322" s="68"/>
      <c r="X322" s="23">
        <v>45488</v>
      </c>
      <c r="Y322" s="7" t="s">
        <v>58</v>
      </c>
      <c r="Z322" s="120" t="str">
        <f>IF(Tableau3384[[#This Row],[Méthode du paiement]]="Mastercard","OUI","")</f>
        <v/>
      </c>
      <c r="AA322" s="6" t="s">
        <v>14</v>
      </c>
      <c r="AB322" s="6" t="s">
        <v>600</v>
      </c>
    </row>
    <row r="323" spans="1:28" hidden="1" x14ac:dyDescent="0.25">
      <c r="A323" s="9" t="s">
        <v>588</v>
      </c>
      <c r="B323" s="21">
        <v>45428</v>
      </c>
      <c r="C323" s="21">
        <v>45433</v>
      </c>
      <c r="D323" s="186" t="s">
        <v>589</v>
      </c>
      <c r="E323" s="11">
        <v>687</v>
      </c>
      <c r="F323" s="88">
        <v>8.1</v>
      </c>
      <c r="G323" s="80"/>
      <c r="H323" s="136">
        <f>Tableau3384[[#This Row],[Montant
CHF]]+Tableau3384[[#This Row],[Abzug/Spesen
CHF]]</f>
        <v>687</v>
      </c>
      <c r="I323" s="39"/>
      <c r="J323" s="40"/>
      <c r="K323" s="189"/>
      <c r="L323" s="298"/>
      <c r="M323" s="81"/>
      <c r="N323" s="185">
        <v>45429</v>
      </c>
      <c r="O323" s="282" t="str">
        <f>IF(Tableau3384[[#This Row],[Date du paiement]]&gt;0,"",Tableau3384[[#This Row],[Montant
CHF]])</f>
        <v/>
      </c>
      <c r="P323" s="276" t="str">
        <f>IF(Tableau3384[[#This Row],[Date du paiement]]="",$B$4-Tableau3384[[#This Row],[Écheance]],"")</f>
        <v/>
      </c>
      <c r="Q323" s="168" t="str">
        <f>IF(Tableau3384[[#This Row],[Date du paiement]]="",IF(Tableau3384[[#This Row],[jours jusqu''à l''écheance]]&gt;0,Tableau3384[[#This Row],[Montant
CHF]],""),"")</f>
        <v/>
      </c>
      <c r="R323" s="298" t="str">
        <f>IF(Tableau3384[[#This Row],[Date du paiement]]="",IF(Tableau3384[[#This Row],[jours jusqu''à l''écheance]]-($B$4-$B$11-1)&gt;0,Tableau3384[[#This Row],[Montant
CHF]],""),"")</f>
        <v/>
      </c>
      <c r="S323" s="142"/>
      <c r="T323" s="95" t="str">
        <f>IF(Tableau3384[[#This Row],[Paiements prevus]]="oui",Tableau3384[[#This Row],[Montant prevu à payer CH]],"")</f>
        <v/>
      </c>
      <c r="U323" s="176"/>
      <c r="V323" s="73"/>
      <c r="W323" s="68"/>
      <c r="X323" s="23">
        <v>45429</v>
      </c>
      <c r="Y323" s="7" t="s">
        <v>105</v>
      </c>
      <c r="Z323" s="120" t="str">
        <f>IF(Tableau3384[[#This Row],[Méthode du paiement]]="Mastercard","OUI","")</f>
        <v>OUI</v>
      </c>
      <c r="AA323" s="6" t="s">
        <v>14</v>
      </c>
      <c r="AB323" s="6" t="s">
        <v>590</v>
      </c>
    </row>
    <row r="324" spans="1:28" s="47" customFormat="1" hidden="1" x14ac:dyDescent="0.25">
      <c r="A324" s="9" t="s">
        <v>597</v>
      </c>
      <c r="B324" s="21">
        <v>45433</v>
      </c>
      <c r="C324" s="21">
        <v>45433</v>
      </c>
      <c r="D324" s="22" t="s">
        <v>25</v>
      </c>
      <c r="E324" s="11">
        <v>40</v>
      </c>
      <c r="F324" s="88">
        <v>0</v>
      </c>
      <c r="G324" s="80"/>
      <c r="H324" s="136">
        <f>Tableau3384[[#This Row],[Montant
CHF]]+Tableau3384[[#This Row],[Abzug/Spesen
CHF]]</f>
        <v>40</v>
      </c>
      <c r="I324" s="39"/>
      <c r="J324" s="40"/>
      <c r="K324" s="189"/>
      <c r="L324" s="298"/>
      <c r="M324" s="81"/>
      <c r="N324" s="21">
        <v>45453</v>
      </c>
      <c r="O324" s="282" t="str">
        <f>IF(Tableau3384[[#This Row],[Date du paiement]]&gt;0,"",Tableau3384[[#This Row],[Montant
CHF]])</f>
        <v/>
      </c>
      <c r="P324" s="276" t="str">
        <f>IF(Tableau3384[[#This Row],[Date du paiement]]="",$B$4-Tableau3384[[#This Row],[Écheance]],"")</f>
        <v/>
      </c>
      <c r="Q324" s="168" t="str">
        <f>IF(Tableau3384[[#This Row],[Date du paiement]]="",IF(Tableau3384[[#This Row],[jours jusqu''à l''écheance]]&gt;0,Tableau3384[[#This Row],[Montant
CHF]],""),"")</f>
        <v/>
      </c>
      <c r="R324" s="298" t="str">
        <f>IF(Tableau3384[[#This Row],[Date du paiement]]="",IF(Tableau3384[[#This Row],[jours jusqu''à l''écheance]]-($B$4-$B$11-1)&gt;0,Tableau3384[[#This Row],[Montant
CHF]],""),"")</f>
        <v/>
      </c>
      <c r="S324" s="142"/>
      <c r="T324" s="95" t="str">
        <f>IF(Tableau3384[[#This Row],[Paiements prevus]]="oui",Tableau3384[[#This Row],[Montant prevu à payer CH]],"")</f>
        <v/>
      </c>
      <c r="U324" s="176"/>
      <c r="V324" s="73" t="s">
        <v>738</v>
      </c>
      <c r="W324" s="68"/>
      <c r="X324" s="23">
        <v>45464</v>
      </c>
      <c r="Y324" s="7" t="s">
        <v>58</v>
      </c>
      <c r="Z324" s="120" t="str">
        <f>IF(Tableau3384[[#This Row],[Méthode du paiement]]="Mastercard","OUI","")</f>
        <v/>
      </c>
      <c r="AA324" s="6" t="s">
        <v>26</v>
      </c>
      <c r="AB324" s="6" t="s">
        <v>598</v>
      </c>
    </row>
    <row r="325" spans="1:28" hidden="1" x14ac:dyDescent="0.25">
      <c r="A325" s="9" t="s">
        <v>591</v>
      </c>
      <c r="B325" s="21">
        <v>45433</v>
      </c>
      <c r="C325" s="21">
        <v>45434</v>
      </c>
      <c r="D325" s="22" t="s">
        <v>74</v>
      </c>
      <c r="E325" s="11">
        <v>2587.9</v>
      </c>
      <c r="F325" s="88">
        <v>8.1</v>
      </c>
      <c r="G325" s="80"/>
      <c r="H325" s="136">
        <f>Tableau3384[[#This Row],[Montant
CHF]]+Tableau3384[[#This Row],[Abzug/Spesen
CHF]]</f>
        <v>2587.9</v>
      </c>
      <c r="I325" s="39"/>
      <c r="J325" s="40"/>
      <c r="K325" s="189"/>
      <c r="L325" s="298"/>
      <c r="M325" s="81"/>
      <c r="N325" s="185">
        <v>45463</v>
      </c>
      <c r="O325" s="282" t="str">
        <f>IF(Tableau3384[[#This Row],[Date du paiement]]&gt;0,"",Tableau3384[[#This Row],[Montant
CHF]])</f>
        <v/>
      </c>
      <c r="P325" s="276" t="str">
        <f>IF(Tableau3384[[#This Row],[Date du paiement]]="",$B$4-Tableau3384[[#This Row],[Écheance]],"")</f>
        <v/>
      </c>
      <c r="Q325" s="168" t="str">
        <f>IF(Tableau3384[[#This Row],[Date du paiement]]="",IF(Tableau3384[[#This Row],[jours jusqu''à l''écheance]]&gt;0,Tableau3384[[#This Row],[Montant
CHF]],""),"")</f>
        <v/>
      </c>
      <c r="R325" s="298" t="str">
        <f>IF(Tableau3384[[#This Row],[Date du paiement]]="",IF(Tableau3384[[#This Row],[jours jusqu''à l''écheance]]-($B$4-$B$11-1)&gt;0,Tableau3384[[#This Row],[Montant
CHF]],""),"")</f>
        <v/>
      </c>
      <c r="S325" s="142"/>
      <c r="T325" s="95" t="str">
        <f>IF(Tableau3384[[#This Row],[Paiements prevus]]="oui",Tableau3384[[#This Row],[Montant prevu à payer CH]],"")</f>
        <v/>
      </c>
      <c r="U325" s="176"/>
      <c r="V325" s="73" t="s">
        <v>738</v>
      </c>
      <c r="W325" s="68"/>
      <c r="X325" s="23">
        <v>45464</v>
      </c>
      <c r="Y325" s="7" t="s">
        <v>58</v>
      </c>
      <c r="Z325" s="120" t="str">
        <f>IF(Tableau3384[[#This Row],[Méthode du paiement]]="Mastercard","OUI","")</f>
        <v/>
      </c>
      <c r="AA325" s="6" t="s">
        <v>14</v>
      </c>
      <c r="AB325" s="6" t="s">
        <v>592</v>
      </c>
    </row>
    <row r="326" spans="1:28" hidden="1" x14ac:dyDescent="0.25">
      <c r="A326" s="9" t="s">
        <v>612</v>
      </c>
      <c r="B326" s="21">
        <v>45434</v>
      </c>
      <c r="C326" s="21">
        <v>45434</v>
      </c>
      <c r="D326" s="22" t="s">
        <v>253</v>
      </c>
      <c r="E326" s="11">
        <f>Tableau3384[[#This Row],[Montant
EUR]]*Tableau3384[[#This Row],[Taux 
de change]]</f>
        <v>23.056169664000002</v>
      </c>
      <c r="F326" s="88">
        <v>0</v>
      </c>
      <c r="G326" s="80">
        <f>-Tableau3384[[#This Row],[Montant
CHF]]*0.01</f>
        <v>-0.23056169664000004</v>
      </c>
      <c r="H326" s="136">
        <f>Tableau3384[[#This Row],[Montant
CHF]]+Tableau3384[[#This Row],[Abzug/Spesen
CHF]]</f>
        <v>22.825607967360003</v>
      </c>
      <c r="I326" s="39">
        <v>0.98404480000000005</v>
      </c>
      <c r="J326" s="40">
        <v>23.43</v>
      </c>
      <c r="K326" s="189"/>
      <c r="L326" s="298"/>
      <c r="M326" s="81"/>
      <c r="N326" s="21">
        <v>45392</v>
      </c>
      <c r="O326" s="282" t="str">
        <f>IF(Tableau3384[[#This Row],[Date du paiement]]&gt;0,"",Tableau3384[[#This Row],[Montant
CHF]])</f>
        <v/>
      </c>
      <c r="P326" s="276" t="str">
        <f>IF(Tableau3384[[#This Row],[Date du paiement]]="",$B$4-Tableau3384[[#This Row],[Écheance]],"")</f>
        <v/>
      </c>
      <c r="Q326" s="168" t="str">
        <f>IF(Tableau3384[[#This Row],[Date du paiement]]="",IF(Tableau3384[[#This Row],[jours jusqu''à l''écheance]]&gt;0,Tableau3384[[#This Row],[Montant
CHF]],""),"")</f>
        <v/>
      </c>
      <c r="R326" s="298" t="str">
        <f>IF(Tableau3384[[#This Row],[Date du paiement]]="",IF(Tableau3384[[#This Row],[jours jusqu''à l''écheance]]-($B$4-$B$11-1)&gt;0,Tableau3384[[#This Row],[Montant
CHF]],""),"")</f>
        <v/>
      </c>
      <c r="S326" s="142"/>
      <c r="T326" s="95" t="str">
        <f>IF(Tableau3384[[#This Row],[Paiements prevus]]="oui",Tableau3384[[#This Row],[Montant prevu à payer CH]],"")</f>
        <v/>
      </c>
      <c r="U326" s="176"/>
      <c r="V326" s="73"/>
      <c r="W326" s="68"/>
      <c r="X326" s="23">
        <v>45392</v>
      </c>
      <c r="Y326" s="7" t="s">
        <v>58</v>
      </c>
      <c r="Z326" s="120" t="str">
        <f>IF(Tableau3384[[#This Row],[Méthode du paiement]]="Mastercard","OUI","")</f>
        <v/>
      </c>
      <c r="AA326" s="6" t="s">
        <v>14</v>
      </c>
      <c r="AB326" s="6" t="s">
        <v>615</v>
      </c>
    </row>
    <row r="327" spans="1:28" hidden="1" x14ac:dyDescent="0.25">
      <c r="A327" s="9" t="s">
        <v>611</v>
      </c>
      <c r="B327" s="21">
        <v>45434</v>
      </c>
      <c r="C327" s="21">
        <v>45434</v>
      </c>
      <c r="D327" s="22" t="s">
        <v>253</v>
      </c>
      <c r="E327" s="11">
        <f>Tableau3384[[#This Row],[Montant
EUR]]*Tableau3384[[#This Row],[Taux 
de change]]</f>
        <v>192.88645348</v>
      </c>
      <c r="F327" s="88">
        <v>0</v>
      </c>
      <c r="G327" s="80">
        <f>-Tableau3384[[#This Row],[Montant
CHF]]*0.01</f>
        <v>-1.9288645348</v>
      </c>
      <c r="H327" s="136">
        <f>Tableau3384[[#This Row],[Montant
CHF]]+Tableau3384[[#This Row],[Abzug/Spesen
CHF]]</f>
        <v>190.9575889452</v>
      </c>
      <c r="I327" s="39">
        <v>0.98481799999999997</v>
      </c>
      <c r="J327" s="40">
        <v>195.86</v>
      </c>
      <c r="K327" s="189"/>
      <c r="L327" s="298"/>
      <c r="M327" s="81"/>
      <c r="N327" s="21">
        <v>45422</v>
      </c>
      <c r="O327" s="282" t="str">
        <f>IF(Tableau3384[[#This Row],[Date du paiement]]&gt;0,"",Tableau3384[[#This Row],[Montant
CHF]])</f>
        <v/>
      </c>
      <c r="P327" s="276" t="str">
        <f>IF(Tableau3384[[#This Row],[Date du paiement]]="",$B$4-Tableau3384[[#This Row],[Écheance]],"")</f>
        <v/>
      </c>
      <c r="Q327" s="168" t="str">
        <f>IF(Tableau3384[[#This Row],[Date du paiement]]="",IF(Tableau3384[[#This Row],[jours jusqu''à l''écheance]]&gt;0,Tableau3384[[#This Row],[Montant
CHF]],""),"")</f>
        <v/>
      </c>
      <c r="R327" s="298" t="str">
        <f>IF(Tableau3384[[#This Row],[Date du paiement]]="",IF(Tableau3384[[#This Row],[jours jusqu''à l''écheance]]-($B$4-$B$11-1)&gt;0,Tableau3384[[#This Row],[Montant
CHF]],""),"")</f>
        <v/>
      </c>
      <c r="S327" s="142"/>
      <c r="T327" s="95" t="str">
        <f>IF(Tableau3384[[#This Row],[Paiements prevus]]="oui",Tableau3384[[#This Row],[Montant prevu à payer CH]],"")</f>
        <v/>
      </c>
      <c r="U327" s="176"/>
      <c r="V327" s="73"/>
      <c r="W327" s="68"/>
      <c r="X327" s="23">
        <v>45422</v>
      </c>
      <c r="Y327" s="7" t="s">
        <v>58</v>
      </c>
      <c r="Z327" s="120" t="str">
        <f>IF(Tableau3384[[#This Row],[Méthode du paiement]]="Mastercard","OUI","")</f>
        <v/>
      </c>
      <c r="AA327" s="6" t="s">
        <v>14</v>
      </c>
      <c r="AB327" s="6" t="s">
        <v>614</v>
      </c>
    </row>
    <row r="328" spans="1:28" hidden="1" x14ac:dyDescent="0.25">
      <c r="A328" s="9" t="s">
        <v>610</v>
      </c>
      <c r="B328" s="21">
        <v>45434</v>
      </c>
      <c r="C328" s="21">
        <v>45434</v>
      </c>
      <c r="D328" s="22" t="s">
        <v>253</v>
      </c>
      <c r="E328" s="11">
        <f>Tableau3384[[#This Row],[Montant
EUR]]*Tableau3384[[#This Row],[Taux 
de change]]</f>
        <v>347.50524490200002</v>
      </c>
      <c r="F328" s="88">
        <v>0</v>
      </c>
      <c r="G328" s="80">
        <f>-Tableau3384[[#This Row],[Montant
CHF]]*0.01</f>
        <v>-3.4750524490200001</v>
      </c>
      <c r="H328" s="136">
        <f>Tableau3384[[#This Row],[Montant
CHF]]+Tableau3384[[#This Row],[Abzug/Spesen
CHF]]</f>
        <v>344.03019245298003</v>
      </c>
      <c r="I328" s="39">
        <v>0.98448990000000003</v>
      </c>
      <c r="J328" s="40">
        <v>352.98</v>
      </c>
      <c r="K328" s="189"/>
      <c r="L328" s="298"/>
      <c r="M328" s="81"/>
      <c r="N328" s="21">
        <v>45427</v>
      </c>
      <c r="O328" s="282" t="str">
        <f>IF(Tableau3384[[#This Row],[Date du paiement]]&gt;0,"",Tableau3384[[#This Row],[Montant
CHF]])</f>
        <v/>
      </c>
      <c r="P328" s="276" t="str">
        <f>IF(Tableau3384[[#This Row],[Date du paiement]]="",$B$4-Tableau3384[[#This Row],[Écheance]],"")</f>
        <v/>
      </c>
      <c r="Q328" s="168" t="str">
        <f>IF(Tableau3384[[#This Row],[Date du paiement]]="",IF(Tableau3384[[#This Row],[jours jusqu''à l''écheance]]&gt;0,Tableau3384[[#This Row],[Montant
CHF]],""),"")</f>
        <v/>
      </c>
      <c r="R328" s="298" t="str">
        <f>IF(Tableau3384[[#This Row],[Date du paiement]]="",IF(Tableau3384[[#This Row],[jours jusqu''à l''écheance]]-($B$4-$B$11-1)&gt;0,Tableau3384[[#This Row],[Montant
CHF]],""),"")</f>
        <v/>
      </c>
      <c r="S328" s="142"/>
      <c r="T328" s="95" t="str">
        <f>IF(Tableau3384[[#This Row],[Paiements prevus]]="oui",Tableau3384[[#This Row],[Montant prevu à payer CH]],"")</f>
        <v/>
      </c>
      <c r="U328" s="176"/>
      <c r="V328" s="73"/>
      <c r="W328" s="68"/>
      <c r="X328" s="23">
        <v>45427</v>
      </c>
      <c r="Y328" s="7" t="s">
        <v>58</v>
      </c>
      <c r="Z328" s="120" t="str">
        <f>IF(Tableau3384[[#This Row],[Méthode du paiement]]="Mastercard","OUI","")</f>
        <v/>
      </c>
      <c r="AA328" s="6" t="s">
        <v>14</v>
      </c>
      <c r="AB328" s="6" t="s">
        <v>613</v>
      </c>
    </row>
    <row r="329" spans="1:28" hidden="1" x14ac:dyDescent="0.25">
      <c r="A329" s="9" t="s">
        <v>601</v>
      </c>
      <c r="B329" s="21">
        <v>45434</v>
      </c>
      <c r="C329" s="21">
        <v>45435</v>
      </c>
      <c r="D329" s="22" t="s">
        <v>452</v>
      </c>
      <c r="E329" s="11">
        <v>-629.54999999999995</v>
      </c>
      <c r="F329" s="88">
        <v>8.1</v>
      </c>
      <c r="G329" s="80"/>
      <c r="H329" s="136">
        <f>Tableau3384[[#This Row],[Montant
CHF]]+Tableau3384[[#This Row],[Abzug/Spesen
CHF]]</f>
        <v>-629.54999999999995</v>
      </c>
      <c r="I329" s="39"/>
      <c r="J329" s="40"/>
      <c r="K329" s="189"/>
      <c r="L329" s="298"/>
      <c r="M329" s="81" t="s">
        <v>603</v>
      </c>
      <c r="N329" s="21">
        <v>45434</v>
      </c>
      <c r="O329" s="282" t="str">
        <f>IF(Tableau3384[[#This Row],[Date du paiement]]&gt;0,"",Tableau3384[[#This Row],[Montant
CHF]])</f>
        <v/>
      </c>
      <c r="P329" s="276" t="str">
        <f>IF(Tableau3384[[#This Row],[Date du paiement]]="",$B$4-Tableau3384[[#This Row],[Écheance]],"")</f>
        <v/>
      </c>
      <c r="Q329" s="168" t="str">
        <f>IF(Tableau3384[[#This Row],[Date du paiement]]="",IF(Tableau3384[[#This Row],[jours jusqu''à l''écheance]]&gt;0,Tableau3384[[#This Row],[Montant
CHF]],""),"")</f>
        <v/>
      </c>
      <c r="R329" s="298" t="str">
        <f>IF(Tableau3384[[#This Row],[Date du paiement]]="",IF(Tableau3384[[#This Row],[jours jusqu''à l''écheance]]-($B$4-$B$11-1)&gt;0,Tableau3384[[#This Row],[Montant
CHF]],""),"")</f>
        <v/>
      </c>
      <c r="S329" s="142"/>
      <c r="T329" s="95" t="str">
        <f>IF(Tableau3384[[#This Row],[Paiements prevus]]="oui",Tableau3384[[#This Row],[Montant prevu à payer CH]],"")</f>
        <v/>
      </c>
      <c r="U329" s="129"/>
      <c r="V329" s="73"/>
      <c r="W329" s="68"/>
      <c r="X329" s="23">
        <v>45443</v>
      </c>
      <c r="Y329" s="7" t="s">
        <v>58</v>
      </c>
      <c r="Z329" s="120" t="str">
        <f>IF(Tableau3384[[#This Row],[Méthode du paiement]]="Mastercard","OUI","")</f>
        <v/>
      </c>
      <c r="AA329" s="6" t="s">
        <v>294</v>
      </c>
      <c r="AB329" s="6" t="s">
        <v>551</v>
      </c>
    </row>
    <row r="330" spans="1:28" hidden="1" x14ac:dyDescent="0.25">
      <c r="A330" s="9" t="s">
        <v>593</v>
      </c>
      <c r="B330" s="21">
        <v>45434</v>
      </c>
      <c r="C330" s="21">
        <v>45435</v>
      </c>
      <c r="D330" s="22" t="s">
        <v>196</v>
      </c>
      <c r="E330" s="11">
        <v>1405.9</v>
      </c>
      <c r="F330" s="88">
        <v>8.1</v>
      </c>
      <c r="G330" s="80"/>
      <c r="H330" s="136">
        <f>Tableau3384[[#This Row],[Montant
CHF]]+Tableau3384[[#This Row],[Abzug/Spesen
CHF]]</f>
        <v>1405.9</v>
      </c>
      <c r="I330" s="39"/>
      <c r="J330" s="40"/>
      <c r="K330" s="189"/>
      <c r="L330" s="298"/>
      <c r="M330" s="81"/>
      <c r="N330" s="21">
        <v>45444</v>
      </c>
      <c r="O330" s="282" t="str">
        <f>IF(Tableau3384[[#This Row],[Date du paiement]]&gt;0,"",Tableau3384[[#This Row],[Montant
CHF]])</f>
        <v/>
      </c>
      <c r="P330" s="276" t="str">
        <f>IF(Tableau3384[[#This Row],[Date du paiement]]="",$B$4-Tableau3384[[#This Row],[Écheance]],"")</f>
        <v/>
      </c>
      <c r="Q330" s="168" t="str">
        <f>IF(Tableau3384[[#This Row],[Date du paiement]]="",IF(Tableau3384[[#This Row],[jours jusqu''à l''écheance]]&gt;0,Tableau3384[[#This Row],[Montant
CHF]],""),"")</f>
        <v/>
      </c>
      <c r="R330" s="298" t="str">
        <f>IF(Tableau3384[[#This Row],[Date du paiement]]="",IF(Tableau3384[[#This Row],[jours jusqu''à l''écheance]]-($B$4-$B$11-1)&gt;0,Tableau3384[[#This Row],[Montant
CHF]],""),"")</f>
        <v/>
      </c>
      <c r="S330" s="142"/>
      <c r="T330" s="95" t="str">
        <f>IF(Tableau3384[[#This Row],[Paiements prevus]]="oui",Tableau3384[[#This Row],[Montant prevu à payer CH]],"")</f>
        <v/>
      </c>
      <c r="U330" s="176"/>
      <c r="V330" s="73" t="s">
        <v>735</v>
      </c>
      <c r="W330" s="68"/>
      <c r="X330" s="23">
        <v>45481</v>
      </c>
      <c r="Y330" s="7" t="s">
        <v>58</v>
      </c>
      <c r="Z330" s="120" t="str">
        <f>IF(Tableau3384[[#This Row],[Méthode du paiement]]="Mastercard","OUI","")</f>
        <v/>
      </c>
      <c r="AA330" s="6" t="s">
        <v>4</v>
      </c>
      <c r="AB330" s="6" t="s">
        <v>594</v>
      </c>
    </row>
    <row r="331" spans="1:28" hidden="1" x14ac:dyDescent="0.25">
      <c r="A331" s="9" t="s">
        <v>640</v>
      </c>
      <c r="B331" s="21">
        <v>45435</v>
      </c>
      <c r="C331" s="21">
        <v>45436</v>
      </c>
      <c r="D331" s="186" t="s">
        <v>641</v>
      </c>
      <c r="E331" s="151">
        <v>5527.15</v>
      </c>
      <c r="F331" s="88">
        <v>8.1</v>
      </c>
      <c r="G331" s="80"/>
      <c r="H331" s="136">
        <f>Tableau3384[[#This Row],[Montant
CHF]]+Tableau3384[[#This Row],[Abzug/Spesen
CHF]]</f>
        <v>5527.15</v>
      </c>
      <c r="I331" s="39"/>
      <c r="J331" s="40"/>
      <c r="K331" s="189"/>
      <c r="L331" s="298"/>
      <c r="M331" s="81" t="s">
        <v>1173</v>
      </c>
      <c r="N331" s="21">
        <v>45446</v>
      </c>
      <c r="O331" s="282" t="str">
        <f>IF(Tableau3384[[#This Row],[Date du paiement]]&gt;0,"",Tableau3384[[#This Row],[Montant
CHF]])</f>
        <v/>
      </c>
      <c r="P331" s="276" t="str">
        <f>IF(Tableau3384[[#This Row],[Date du paiement]]="",$B$4-Tableau3384[[#This Row],[Écheance]],"")</f>
        <v/>
      </c>
      <c r="Q331" s="168" t="str">
        <f>IF(Tableau3384[[#This Row],[Date du paiement]]="",IF(Tableau3384[[#This Row],[jours jusqu''à l''écheance]]&gt;0,Tableau3384[[#This Row],[Montant
CHF]],""),"")</f>
        <v/>
      </c>
      <c r="R331" s="298" t="str">
        <f>IF(Tableau3384[[#This Row],[Date du paiement]]="",IF(Tableau3384[[#This Row],[jours jusqu''à l''écheance]]+(B140-B146)&gt;0,Tableau3384[[#This Row],[Montant
CHF]],""),"")</f>
        <v/>
      </c>
      <c r="S331" s="142"/>
      <c r="T331" s="95" t="str">
        <f>IF(Tableau3384[[#This Row],[Paiements prevus]]="oui",Tableau3384[[#This Row],[Montant prevu à payer CH]],"")</f>
        <v/>
      </c>
      <c r="U331" s="177"/>
      <c r="V331" s="73" t="s">
        <v>791</v>
      </c>
      <c r="W331" s="68"/>
      <c r="X331" s="23">
        <v>45446</v>
      </c>
      <c r="Y331" s="7" t="s">
        <v>58</v>
      </c>
      <c r="Z331" s="120" t="str">
        <f>IF(Tableau3384[[#This Row],[Méthode du paiement]]="Mastercard","OUI","")</f>
        <v/>
      </c>
      <c r="AA331" s="6" t="s">
        <v>14</v>
      </c>
      <c r="AB331" s="6" t="s">
        <v>653</v>
      </c>
    </row>
    <row r="332" spans="1:28" hidden="1" x14ac:dyDescent="0.25">
      <c r="A332" s="9" t="s">
        <v>642</v>
      </c>
      <c r="B332" s="21">
        <v>45435</v>
      </c>
      <c r="C332" s="21">
        <v>45436</v>
      </c>
      <c r="D332" s="22" t="s">
        <v>380</v>
      </c>
      <c r="E332" s="11">
        <v>7651.75</v>
      </c>
      <c r="F332" s="88">
        <v>8.1</v>
      </c>
      <c r="G332" s="80"/>
      <c r="H332" s="136">
        <f>Tableau3384[[#This Row],[Montant
CHF]]+Tableau3384[[#This Row],[Abzug/Spesen
CHF]]</f>
        <v>7651.75</v>
      </c>
      <c r="I332" s="39"/>
      <c r="J332" s="40"/>
      <c r="K332" s="189"/>
      <c r="L332" s="298"/>
      <c r="M332" s="81"/>
      <c r="N332" s="21">
        <v>45446</v>
      </c>
      <c r="O332" s="282" t="str">
        <f>IF(Tableau3384[[#This Row],[Date du paiement]]&gt;0,"",Tableau3384[[#This Row],[Montant
CHF]])</f>
        <v/>
      </c>
      <c r="P332" s="276" t="str">
        <f>IF(Tableau3384[[#This Row],[Date du paiement]]="",$B$4-Tableau3384[[#This Row],[Écheance]],"")</f>
        <v/>
      </c>
      <c r="Q332" s="168" t="str">
        <f>IF(Tableau3384[[#This Row],[Date du paiement]]="",IF(Tableau3384[[#This Row],[jours jusqu''à l''écheance]]&gt;0,Tableau3384[[#This Row],[Montant
CHF]],""),"")</f>
        <v/>
      </c>
      <c r="R332" s="298" t="str">
        <f>IF(Tableau3384[[#This Row],[Date du paiement]]="",IF(Tableau3384[[#This Row],[jours jusqu''à l''écheance]]+(B141-B147)&gt;0,Tableau3384[[#This Row],[Montant
CHF]],""),"")</f>
        <v/>
      </c>
      <c r="S332" s="142"/>
      <c r="T332" s="95" t="str">
        <f>IF(Tableau3384[[#This Row],[Paiements prevus]]="oui",Tableau3384[[#This Row],[Montant prevu à payer CH]],"")</f>
        <v/>
      </c>
      <c r="U332" s="177"/>
      <c r="V332" s="73"/>
      <c r="W332" s="68"/>
      <c r="X332" s="23">
        <v>45446</v>
      </c>
      <c r="Y332" s="7" t="s">
        <v>58</v>
      </c>
      <c r="Z332" s="120" t="str">
        <f>IF(Tableau3384[[#This Row],[Méthode du paiement]]="Mastercard","OUI","")</f>
        <v/>
      </c>
      <c r="AA332" s="6" t="s">
        <v>14</v>
      </c>
      <c r="AB332" s="6" t="s">
        <v>643</v>
      </c>
    </row>
    <row r="333" spans="1:28" hidden="1" x14ac:dyDescent="0.25">
      <c r="A333" s="9" t="s">
        <v>662</v>
      </c>
      <c r="B333" s="21">
        <v>45435</v>
      </c>
      <c r="C333" s="21">
        <v>45442</v>
      </c>
      <c r="D333" s="22" t="s">
        <v>663</v>
      </c>
      <c r="E333" s="11">
        <v>680.6</v>
      </c>
      <c r="F333" s="88">
        <v>8.1</v>
      </c>
      <c r="G333" s="80"/>
      <c r="H333" s="136">
        <f>Tableau3384[[#This Row],[Montant
CHF]]+Tableau3384[[#This Row],[Abzug/Spesen
CHF]]</f>
        <v>680.6</v>
      </c>
      <c r="I333" s="39"/>
      <c r="J333" s="40"/>
      <c r="K333" s="189"/>
      <c r="L333" s="298"/>
      <c r="M333" s="81"/>
      <c r="N333" s="21">
        <v>45466</v>
      </c>
      <c r="O333" s="282" t="str">
        <f>IF(Tableau3384[[#This Row],[Date du paiement]]&gt;0,"",Tableau3384[[#This Row],[Montant
CHF]])</f>
        <v/>
      </c>
      <c r="P333" s="276" t="str">
        <f>IF(Tableau3384[[#This Row],[Date du paiement]]="",$B$4-Tableau3384[[#This Row],[Écheance]],"")</f>
        <v/>
      </c>
      <c r="Q333" s="168" t="str">
        <f>IF(Tableau3384[[#This Row],[Date du paiement]]="",IF(Tableau3384[[#This Row],[jours jusqu''à l''écheance]]&gt;0,Tableau3384[[#This Row],[Montant
CHF]],""),"")</f>
        <v/>
      </c>
      <c r="R333" s="298" t="str">
        <f>IF(Tableau3384[[#This Row],[Date du paiement]]="",IF(Tableau3384[[#This Row],[jours jusqu''à l''écheance]]-($B$4-$B$11-1)&gt;0,Tableau3384[[#This Row],[Montant
CHF]],""),"")</f>
        <v/>
      </c>
      <c r="S333" s="142"/>
      <c r="T333" s="95" t="str">
        <f>IF(Tableau3384[[#This Row],[Paiements prevus]]="oui",Tableau3384[[#This Row],[Montant prevu à payer CH]],"")</f>
        <v/>
      </c>
      <c r="U333" s="177"/>
      <c r="V333" s="73" t="s">
        <v>735</v>
      </c>
      <c r="W333" s="68"/>
      <c r="X333" s="23">
        <v>45481</v>
      </c>
      <c r="Y333" s="7" t="s">
        <v>58</v>
      </c>
      <c r="Z333" s="120" t="str">
        <f>IF(Tableau3384[[#This Row],[Méthode du paiement]]="Mastercard","OUI","")</f>
        <v/>
      </c>
      <c r="AA333" s="18" t="s">
        <v>1431</v>
      </c>
      <c r="AB333" s="6" t="s">
        <v>664</v>
      </c>
    </row>
    <row r="334" spans="1:28" hidden="1" x14ac:dyDescent="0.25">
      <c r="A334" s="9" t="s">
        <v>651</v>
      </c>
      <c r="B334" s="21">
        <v>45436</v>
      </c>
      <c r="C334" s="21">
        <v>45439</v>
      </c>
      <c r="D334" s="22" t="s">
        <v>209</v>
      </c>
      <c r="E334" s="11">
        <v>643.20000000000005</v>
      </c>
      <c r="F334" s="88">
        <v>8.1</v>
      </c>
      <c r="G334" s="80"/>
      <c r="H334" s="136">
        <f>Tableau3384[[#This Row],[Montant
CHF]]+Tableau3384[[#This Row],[Abzug/Spesen
CHF]]</f>
        <v>643.20000000000005</v>
      </c>
      <c r="I334" s="39"/>
      <c r="J334" s="40"/>
      <c r="K334" s="189"/>
      <c r="L334" s="298"/>
      <c r="M334" s="81"/>
      <c r="N334" s="21">
        <v>45439</v>
      </c>
      <c r="O334" s="282" t="str">
        <f>IF(Tableau3384[[#This Row],[Date du paiement]]&gt;0,"",Tableau3384[[#This Row],[Montant
CHF]])</f>
        <v/>
      </c>
      <c r="P334" s="276" t="str">
        <f>IF(Tableau3384[[#This Row],[Date du paiement]]="",$B$4-Tableau3384[[#This Row],[Écheance]],"")</f>
        <v/>
      </c>
      <c r="Q334" s="168" t="str">
        <f>IF(Tableau3384[[#This Row],[Date du paiement]]="",IF(Tableau3384[[#This Row],[jours jusqu''à l''écheance]]&gt;0,Tableau3384[[#This Row],[Montant
CHF]],""),"")</f>
        <v/>
      </c>
      <c r="R334" s="298" t="str">
        <f>IF(Tableau3384[[#This Row],[Date du paiement]]="",IF(Tableau3384[[#This Row],[jours jusqu''à l''écheance]]-($B$4-$B$11-1)&gt;0,Tableau3384[[#This Row],[Montant
CHF]],""),"")</f>
        <v/>
      </c>
      <c r="S334" s="142"/>
      <c r="T334" s="95" t="str">
        <f>IF(Tableau3384[[#This Row],[Paiements prevus]]="oui",Tableau3384[[#This Row],[Montant prevu à payer CH]],"")</f>
        <v/>
      </c>
      <c r="U334" s="177"/>
      <c r="V334" s="73"/>
      <c r="W334" s="68"/>
      <c r="X334" s="23">
        <v>45439</v>
      </c>
      <c r="Y334" s="7" t="s">
        <v>345</v>
      </c>
      <c r="Z334" s="120" t="str">
        <f>IF(Tableau3384[[#This Row],[Méthode du paiement]]="Mastercard","OUI","")</f>
        <v/>
      </c>
      <c r="AA334" s="6" t="s">
        <v>14</v>
      </c>
      <c r="AB334" s="6" t="s">
        <v>652</v>
      </c>
    </row>
    <row r="335" spans="1:28" hidden="1" x14ac:dyDescent="0.25">
      <c r="A335" s="9" t="s">
        <v>635</v>
      </c>
      <c r="B335" s="21">
        <v>45436</v>
      </c>
      <c r="C335" s="21">
        <v>45439</v>
      </c>
      <c r="D335" s="22" t="s">
        <v>220</v>
      </c>
      <c r="E335" s="11">
        <v>32599.1</v>
      </c>
      <c r="F335" s="88">
        <v>8.1</v>
      </c>
      <c r="G335" s="80"/>
      <c r="H335" s="136">
        <f>Tableau3384[[#This Row],[Montant
CHF]]+Tableau3384[[#This Row],[Abzug/Spesen
CHF]]</f>
        <v>32599.1</v>
      </c>
      <c r="I335" s="39"/>
      <c r="J335" s="40"/>
      <c r="K335" s="189"/>
      <c r="L335" s="298"/>
      <c r="M335" s="81"/>
      <c r="N335" s="21">
        <v>45467</v>
      </c>
      <c r="O335" s="282" t="str">
        <f>IF(Tableau3384[[#This Row],[Date du paiement]]&gt;0,"",Tableau3384[[#This Row],[Montant
CHF]])</f>
        <v/>
      </c>
      <c r="P335" s="276" t="str">
        <f>IF(Tableau3384[[#This Row],[Date du paiement]]="",$B$4-Tableau3384[[#This Row],[Écheance]],"")</f>
        <v/>
      </c>
      <c r="Q335" s="168" t="str">
        <f>IF(Tableau3384[[#This Row],[Date du paiement]]="",IF(Tableau3384[[#This Row],[jours jusqu''à l''écheance]]&gt;0,Tableau3384[[#This Row],[Montant
CHF]],""),"")</f>
        <v/>
      </c>
      <c r="R335" s="298" t="str">
        <f>IF(Tableau3384[[#This Row],[Date du paiement]]="",IF(Tableau3384[[#This Row],[jours jusqu''à l''écheance]]-($B$4-$B$11-1)&gt;0,Tableau3384[[#This Row],[Montant
CHF]],""),"")</f>
        <v/>
      </c>
      <c r="S335" s="142"/>
      <c r="T335" s="95" t="str">
        <f>IF(Tableau3384[[#This Row],[Paiements prevus]]="oui",Tableau3384[[#This Row],[Montant prevu à payer CH]],"")</f>
        <v/>
      </c>
      <c r="U335" s="177"/>
      <c r="V335" s="73" t="s">
        <v>735</v>
      </c>
      <c r="W335" s="68"/>
      <c r="X335" s="23">
        <v>45468</v>
      </c>
      <c r="Y335" s="7" t="s">
        <v>345</v>
      </c>
      <c r="Z335" s="120" t="str">
        <f>IF(Tableau3384[[#This Row],[Méthode du paiement]]="Mastercard","OUI","")</f>
        <v/>
      </c>
      <c r="AA335" s="6" t="s">
        <v>221</v>
      </c>
      <c r="AB335" s="6" t="s">
        <v>195</v>
      </c>
    </row>
    <row r="336" spans="1:28" hidden="1" x14ac:dyDescent="0.25">
      <c r="A336" s="9" t="s">
        <v>773</v>
      </c>
      <c r="B336" s="21">
        <v>45436</v>
      </c>
      <c r="C336" s="21">
        <v>45457</v>
      </c>
      <c r="D336" s="22" t="s">
        <v>209</v>
      </c>
      <c r="E336" s="11">
        <v>3087.35</v>
      </c>
      <c r="F336" s="88">
        <v>8.1</v>
      </c>
      <c r="G336" s="80"/>
      <c r="H336" s="136">
        <f>Tableau3384[[#This Row],[Montant
CHF]]+Tableau3384[[#This Row],[Abzug/Spesen
CHF]]</f>
        <v>3087.35</v>
      </c>
      <c r="I336" s="39"/>
      <c r="J336" s="40"/>
      <c r="K336" s="189"/>
      <c r="L336" s="298"/>
      <c r="M336" s="81"/>
      <c r="N336" s="21">
        <v>45457</v>
      </c>
      <c r="O336" s="282" t="str">
        <f>IF(Tableau3384[[#This Row],[Date du paiement]]&gt;0,"",Tableau3384[[#This Row],[Montant
CHF]])</f>
        <v/>
      </c>
      <c r="P336" s="287" t="str">
        <f>IF(Tableau3384[[#This Row],[Date du paiement]]="",$B$4-Tableau3384[[#This Row],[Écheance]],"")</f>
        <v/>
      </c>
      <c r="Q336" s="168" t="str">
        <f>IF(Tableau3384[[#This Row],[Date du paiement]]="",IF(Tableau3384[[#This Row],[jours jusqu''à l''écheance]]&gt;0,Tableau3384[[#This Row],[Montant
CHF]],""),"")</f>
        <v/>
      </c>
      <c r="R336" s="298" t="str">
        <f>IF(Tableau3384[[#This Row],[Date du paiement]]="",IF(Tableau3384[[#This Row],[jours jusqu''à l''écheance]]+(B145-B151)&gt;0,Tableau3384[[#This Row],[Montant
CHF]],""),"")</f>
        <v/>
      </c>
      <c r="S336" s="142"/>
      <c r="T336" s="95" t="str">
        <f>IF(Tableau3384[[#This Row],[Paiements prevus]]="oui",Tableau3384[[#This Row],[Montant prevu à payer CH]],"")</f>
        <v/>
      </c>
      <c r="U336" s="177"/>
      <c r="V336" s="73"/>
      <c r="W336" s="68"/>
      <c r="X336" s="23">
        <v>45457</v>
      </c>
      <c r="Y336" s="7" t="s">
        <v>345</v>
      </c>
      <c r="Z336" s="120" t="str">
        <f>IF(Tableau3384[[#This Row],[Méthode du paiement]]="Mastercard","OUI","")</f>
        <v/>
      </c>
      <c r="AA336" s="6" t="s">
        <v>14</v>
      </c>
      <c r="AB336" s="6" t="s">
        <v>774</v>
      </c>
    </row>
    <row r="337" spans="1:28" hidden="1" x14ac:dyDescent="0.25">
      <c r="A337" s="9" t="s">
        <v>783</v>
      </c>
      <c r="B337" s="21">
        <v>45436</v>
      </c>
      <c r="C337" s="21">
        <v>45457</v>
      </c>
      <c r="D337" s="22" t="s">
        <v>209</v>
      </c>
      <c r="E337" s="11">
        <v>3087.35</v>
      </c>
      <c r="F337" s="88">
        <v>8.1</v>
      </c>
      <c r="G337" s="80"/>
      <c r="H337" s="136">
        <f>Tableau3384[[#This Row],[Montant
CHF]]+Tableau3384[[#This Row],[Abzug/Spesen
CHF]]</f>
        <v>3087.35</v>
      </c>
      <c r="I337" s="39"/>
      <c r="J337" s="40"/>
      <c r="K337" s="189"/>
      <c r="L337" s="298"/>
      <c r="M337" s="81"/>
      <c r="N337" s="21">
        <v>45460</v>
      </c>
      <c r="O337" s="282" t="str">
        <f>IF(Tableau3384[[#This Row],[Date du paiement]]&gt;0,"",Tableau3384[[#This Row],[Montant
CHF]])</f>
        <v/>
      </c>
      <c r="P337" s="287" t="str">
        <f>IF(Tableau3384[[#This Row],[Date du paiement]]="",$B$4-Tableau3384[[#This Row],[Écheance]],"")</f>
        <v/>
      </c>
      <c r="Q337" s="168" t="str">
        <f>IF(Tableau3384[[#This Row],[Date du paiement]]="",IF(Tableau3384[[#This Row],[jours jusqu''à l''écheance]]&gt;0,Tableau3384[[#This Row],[Montant
CHF]],""),"")</f>
        <v/>
      </c>
      <c r="R337" s="298" t="str">
        <f>IF(Tableau3384[[#This Row],[Date du paiement]]="",IF(Tableau3384[[#This Row],[jours jusqu''à l''écheance]]+(B146-B152)&gt;0,Tableau3384[[#This Row],[Montant
CHF]],""),"")</f>
        <v/>
      </c>
      <c r="S337" s="142"/>
      <c r="T337" s="95" t="str">
        <f>IF(Tableau3384[[#This Row],[Paiements prevus]]="oui",Tableau3384[[#This Row],[Montant prevu à payer CH]],"")</f>
        <v/>
      </c>
      <c r="U337" s="177"/>
      <c r="V337" s="73"/>
      <c r="W337" s="68"/>
      <c r="X337" s="23">
        <v>45460</v>
      </c>
      <c r="Y337" s="7" t="s">
        <v>345</v>
      </c>
      <c r="Z337" s="120" t="str">
        <f>IF(Tableau3384[[#This Row],[Méthode du paiement]]="Mastercard","OUI","")</f>
        <v/>
      </c>
      <c r="AA337" s="6" t="s">
        <v>14</v>
      </c>
      <c r="AB337" s="6" t="s">
        <v>774</v>
      </c>
    </row>
    <row r="338" spans="1:28" hidden="1" x14ac:dyDescent="0.25">
      <c r="A338" s="9" t="s">
        <v>1051</v>
      </c>
      <c r="B338" s="21">
        <v>45436</v>
      </c>
      <c r="C338" s="21">
        <v>45468</v>
      </c>
      <c r="D338" s="22" t="s">
        <v>209</v>
      </c>
      <c r="E338" s="11">
        <f>3087.35-250</f>
        <v>2837.35</v>
      </c>
      <c r="F338" s="88">
        <v>8.1</v>
      </c>
      <c r="G338" s="80"/>
      <c r="H338" s="136">
        <f>Tableau3384[[#This Row],[Montant
CHF]]+Tableau3384[[#This Row],[Abzug/Spesen
CHF]]</f>
        <v>2837.35</v>
      </c>
      <c r="I338" s="39"/>
      <c r="J338" s="40"/>
      <c r="K338" s="189"/>
      <c r="L338" s="298"/>
      <c r="M338" s="81"/>
      <c r="N338" s="21">
        <v>45468</v>
      </c>
      <c r="O338" s="282" t="str">
        <f>IF(Tableau3384[[#This Row],[Date du paiement]]&gt;0,"",Tableau3384[[#This Row],[Montant
CHF]])</f>
        <v/>
      </c>
      <c r="P338" s="287" t="str">
        <f>IF(Tableau3384[[#This Row],[Date du paiement]]="",$B$4-Tableau3384[[#This Row],[Écheance]],"")</f>
        <v/>
      </c>
      <c r="Q338" s="168" t="str">
        <f>IF(Tableau3384[[#This Row],[Date du paiement]]="",IF(Tableau3384[[#This Row],[jours jusqu''à l''écheance]]&gt;0,Tableau3384[[#This Row],[Montant
CHF]],""),"")</f>
        <v/>
      </c>
      <c r="R338" s="298" t="str">
        <f>IF(Tableau3384[[#This Row],[Date du paiement]]="",IF(Tableau3384[[#This Row],[jours jusqu''à l''écheance]]&gt;0,Tableau3384[[#This Row],[Montant
CHF]],""),"")</f>
        <v/>
      </c>
      <c r="S338" s="142"/>
      <c r="T338" s="95" t="str">
        <f>IF(Tableau3384[[#This Row],[Paiements prevus]]="oui",Tableau3384[[#This Row],[Montant prevu à payer CH]],"")</f>
        <v/>
      </c>
      <c r="U338" s="177"/>
      <c r="V338" s="73"/>
      <c r="W338" s="68"/>
      <c r="X338" s="23">
        <v>45468</v>
      </c>
      <c r="Y338" s="7" t="s">
        <v>345</v>
      </c>
      <c r="Z338" s="120" t="str">
        <f>IF(Tableau3384[[#This Row],[Méthode du paiement]]="Mastercard","OUI","")</f>
        <v/>
      </c>
      <c r="AA338" s="6" t="s">
        <v>14</v>
      </c>
      <c r="AB338" s="6" t="s">
        <v>774</v>
      </c>
    </row>
    <row r="339" spans="1:28" hidden="1" x14ac:dyDescent="0.25">
      <c r="A339" s="9" t="s">
        <v>814</v>
      </c>
      <c r="B339" s="21">
        <v>45437</v>
      </c>
      <c r="C339" s="21">
        <v>45463</v>
      </c>
      <c r="D339" s="22" t="s">
        <v>169</v>
      </c>
      <c r="E339" s="11">
        <v>190</v>
      </c>
      <c r="F339" s="88">
        <v>0</v>
      </c>
      <c r="G339" s="80"/>
      <c r="H339" s="136">
        <f>Tableau3384[[#This Row],[Montant
CHF]]+Tableau3384[[#This Row],[Abzug/Spesen
CHF]]</f>
        <v>190</v>
      </c>
      <c r="I339" s="39"/>
      <c r="J339" s="40"/>
      <c r="K339" s="189"/>
      <c r="L339" s="298"/>
      <c r="M339" s="81"/>
      <c r="N339" s="21">
        <v>45468</v>
      </c>
      <c r="O339" s="282" t="str">
        <f>IF(Tableau3384[[#This Row],[Date du paiement]]&gt;0,"",Tableau3384[[#This Row],[Montant
CHF]])</f>
        <v/>
      </c>
      <c r="P339" s="287" t="str">
        <f>IF(Tableau3384[[#This Row],[Date du paiement]]="",$B$4-Tableau3384[[#This Row],[Écheance]],"")</f>
        <v/>
      </c>
      <c r="Q339" s="168" t="str">
        <f>IF(Tableau3384[[#This Row],[Date du paiement]]="",IF(Tableau3384[[#This Row],[jours jusqu''à l''écheance]]&gt;0,Tableau3384[[#This Row],[Montant
CHF]],""),"")</f>
        <v/>
      </c>
      <c r="R339" s="298" t="str">
        <f>IF(Tableau3384[[#This Row],[Date du paiement]]="",IF(Tableau3384[[#This Row],[jours jusqu''à l''écheance]]&gt;0,Tableau3384[[#This Row],[Montant
CHF]],""),"")</f>
        <v/>
      </c>
      <c r="S339" s="142"/>
      <c r="T339" s="95" t="str">
        <f>IF(Tableau3384[[#This Row],[Paiements prevus]]="oui",Tableau3384[[#This Row],[Montant prevu à payer CH]],"")</f>
        <v/>
      </c>
      <c r="U339" s="177"/>
      <c r="V339" s="73" t="s">
        <v>735</v>
      </c>
      <c r="W339" s="68"/>
      <c r="X339" s="23">
        <v>45481</v>
      </c>
      <c r="Y339" s="7" t="s">
        <v>58</v>
      </c>
      <c r="Z339" s="120" t="str">
        <f>IF(Tableau3384[[#This Row],[Méthode du paiement]]="Mastercard","OUI","")</f>
        <v/>
      </c>
      <c r="AA339" s="6" t="s">
        <v>43</v>
      </c>
      <c r="AB339" s="6" t="s">
        <v>414</v>
      </c>
    </row>
    <row r="340" spans="1:28" hidden="1" x14ac:dyDescent="0.25">
      <c r="A340" s="9" t="s">
        <v>639</v>
      </c>
      <c r="B340" s="21">
        <v>45439</v>
      </c>
      <c r="C340" s="21">
        <v>45439</v>
      </c>
      <c r="D340" s="22" t="s">
        <v>216</v>
      </c>
      <c r="E340" s="11">
        <v>1358.7</v>
      </c>
      <c r="F340" s="88">
        <v>100</v>
      </c>
      <c r="G340" s="80"/>
      <c r="H340" s="136">
        <f>Tableau3384[[#This Row],[Montant
CHF]]+Tableau3384[[#This Row],[Abzug/Spesen
CHF]]</f>
        <v>1358.7</v>
      </c>
      <c r="I340" s="39"/>
      <c r="J340" s="40"/>
      <c r="K340" s="189"/>
      <c r="L340" s="298"/>
      <c r="M340" s="81"/>
      <c r="N340" s="21">
        <v>45499</v>
      </c>
      <c r="O340" s="282" t="str">
        <f>IF(Tableau3384[[#This Row],[Date du paiement]]&gt;0,"",Tableau3384[[#This Row],[Montant
CHF]])</f>
        <v/>
      </c>
      <c r="P340" s="276" t="str">
        <f>IF(Tableau3384[[#This Row],[Date du paiement]]="",$B$4-Tableau3384[[#This Row],[Écheance]],"")</f>
        <v/>
      </c>
      <c r="Q340" s="168" t="str">
        <f>IF(Tableau3384[[#This Row],[Date du paiement]]="",IF(Tableau3384[[#This Row],[jours jusqu''à l''écheance]]&gt;0,Tableau3384[[#This Row],[Montant
CHF]],""),"")</f>
        <v/>
      </c>
      <c r="R340" s="298" t="str">
        <f>IF(Tableau3384[[#This Row],[Date du paiement]]="",IF(Tableau3384[[#This Row],[jours jusqu''à l''écheance]]-($B$4-$B$11-1)&gt;0,Tableau3384[[#This Row],[Montant
CHF]],""),"")</f>
        <v/>
      </c>
      <c r="S340" s="142"/>
      <c r="T340" s="95" t="str">
        <f>IF(Tableau3384[[#This Row],[Paiements prevus]]="oui",Tableau3384[[#This Row],[Montant prevu à payer CH]],"")</f>
        <v/>
      </c>
      <c r="U340" s="177"/>
      <c r="V340" s="73" t="s">
        <v>736</v>
      </c>
      <c r="W340" s="68"/>
      <c r="X340" s="23">
        <v>45499</v>
      </c>
      <c r="Y340" s="7" t="s">
        <v>58</v>
      </c>
      <c r="Z340" s="120" t="str">
        <f>IF(Tableau3384[[#This Row],[Méthode du paiement]]="Mastercard","OUI","")</f>
        <v/>
      </c>
      <c r="AA340" s="6" t="s">
        <v>604</v>
      </c>
      <c r="AB340" s="6" t="s">
        <v>598</v>
      </c>
    </row>
    <row r="341" spans="1:28" hidden="1" x14ac:dyDescent="0.25">
      <c r="A341" s="9" t="s">
        <v>637</v>
      </c>
      <c r="B341" s="21">
        <v>45439</v>
      </c>
      <c r="C341" s="21">
        <v>45439</v>
      </c>
      <c r="D341" s="186" t="s">
        <v>29</v>
      </c>
      <c r="E341" s="11">
        <v>47</v>
      </c>
      <c r="F341" s="88">
        <v>8.1</v>
      </c>
      <c r="G341" s="80"/>
      <c r="H341" s="136">
        <f>Tableau3384[[#This Row],[Montant
CHF]]+Tableau3384[[#This Row],[Abzug/Spesen
CHF]]</f>
        <v>47</v>
      </c>
      <c r="I341" s="39"/>
      <c r="J341" s="40"/>
      <c r="K341" s="189"/>
      <c r="L341" s="298"/>
      <c r="M341" s="81"/>
      <c r="N341" s="21">
        <v>45450</v>
      </c>
      <c r="O341" s="282" t="str">
        <f>IF(Tableau3384[[#This Row],[Date du paiement]]&gt;0,"",Tableau3384[[#This Row],[Montant
CHF]])</f>
        <v/>
      </c>
      <c r="P341" s="276" t="str">
        <f>IF(Tableau3384[[#This Row],[Date du paiement]]="",$B$4-Tableau3384[[#This Row],[Écheance]],"")</f>
        <v/>
      </c>
      <c r="Q341" s="168" t="str">
        <f>IF(Tableau3384[[#This Row],[Date du paiement]]="",IF(Tableau3384[[#This Row],[jours jusqu''à l''écheance]]&gt;0,Tableau3384[[#This Row],[Montant
CHF]],""),"")</f>
        <v/>
      </c>
      <c r="R341" s="298" t="str">
        <f>IF(Tableau3384[[#This Row],[Date du paiement]]="",IF(Tableau3384[[#This Row],[jours jusqu''à l''écheance]]-($B$4-$B$11-1)&gt;0,Tableau3384[[#This Row],[Montant
CHF]],""),"")</f>
        <v/>
      </c>
      <c r="S341" s="142"/>
      <c r="T341" s="95" t="str">
        <f>IF(Tableau3384[[#This Row],[Paiements prevus]]="oui",Tableau3384[[#This Row],[Montant prevu à payer CH]],"")</f>
        <v/>
      </c>
      <c r="U341" s="177"/>
      <c r="V341" s="73" t="s">
        <v>735</v>
      </c>
      <c r="W341" s="68"/>
      <c r="X341" s="23">
        <v>45481</v>
      </c>
      <c r="Y341" s="7" t="s">
        <v>58</v>
      </c>
      <c r="Z341" s="120" t="str">
        <f>IF(Tableau3384[[#This Row],[Méthode du paiement]]="Mastercard","OUI","")</f>
        <v/>
      </c>
      <c r="AA341" s="6" t="s">
        <v>30</v>
      </c>
      <c r="AB341" s="6" t="s">
        <v>638</v>
      </c>
    </row>
    <row r="342" spans="1:28" hidden="1" x14ac:dyDescent="0.25">
      <c r="A342" s="9" t="s">
        <v>659</v>
      </c>
      <c r="B342" s="21">
        <v>45440</v>
      </c>
      <c r="C342" s="21">
        <v>45440</v>
      </c>
      <c r="D342" s="22" t="s">
        <v>660</v>
      </c>
      <c r="E342" s="11">
        <v>79.900000000000006</v>
      </c>
      <c r="F342" s="88">
        <v>8.1</v>
      </c>
      <c r="G342" s="80"/>
      <c r="H342" s="136">
        <f>Tableau3384[[#This Row],[Montant
CHF]]+Tableau3384[[#This Row],[Abzug/Spesen
CHF]]</f>
        <v>79.900000000000006</v>
      </c>
      <c r="I342" s="39"/>
      <c r="J342" s="40"/>
      <c r="K342" s="189"/>
      <c r="L342" s="298"/>
      <c r="M342" s="81"/>
      <c r="N342" s="21">
        <v>45440</v>
      </c>
      <c r="O342" s="282" t="str">
        <f>IF(Tableau3384[[#This Row],[Date du paiement]]&gt;0,"",Tableau3384[[#This Row],[Montant
CHF]])</f>
        <v/>
      </c>
      <c r="P342" s="276" t="str">
        <f>IF(Tableau3384[[#This Row],[Date du paiement]]="",$B$4-Tableau3384[[#This Row],[Écheance]],"")</f>
        <v/>
      </c>
      <c r="Q342" s="168" t="str">
        <f>IF(Tableau3384[[#This Row],[Date du paiement]]="",IF(Tableau3384[[#This Row],[jours jusqu''à l''écheance]]&gt;0,Tableau3384[[#This Row],[Montant
CHF]],""),"")</f>
        <v/>
      </c>
      <c r="R342" s="298" t="str">
        <f>IF(Tableau3384[[#This Row],[Date du paiement]]="",IF(Tableau3384[[#This Row],[jours jusqu''à l''écheance]]-($B$4-$B$11-1)&gt;0,Tableau3384[[#This Row],[Montant
CHF]],""),"")</f>
        <v/>
      </c>
      <c r="S342" s="142"/>
      <c r="T342" s="95" t="str">
        <f>IF(Tableau3384[[#This Row],[Paiements prevus]]="oui",Tableau3384[[#This Row],[Montant prevu à payer CH]],"")</f>
        <v/>
      </c>
      <c r="U342" s="177"/>
      <c r="V342" s="73"/>
      <c r="W342" s="68"/>
      <c r="X342" s="23">
        <v>45440</v>
      </c>
      <c r="Y342" s="7" t="s">
        <v>105</v>
      </c>
      <c r="Z342" s="120" t="str">
        <f>IF(Tableau3384[[#This Row],[Méthode du paiement]]="Mastercard","OUI","")</f>
        <v>OUI</v>
      </c>
      <c r="AA342" s="6" t="s">
        <v>14</v>
      </c>
      <c r="AB342" s="6" t="s">
        <v>661</v>
      </c>
    </row>
    <row r="343" spans="1:28" hidden="1" x14ac:dyDescent="0.25">
      <c r="A343" s="9" t="s">
        <v>649</v>
      </c>
      <c r="B343" s="21">
        <v>45440</v>
      </c>
      <c r="C343" s="21">
        <v>45440</v>
      </c>
      <c r="D343" s="22" t="s">
        <v>25</v>
      </c>
      <c r="E343" s="11">
        <v>40</v>
      </c>
      <c r="F343" s="88">
        <v>0</v>
      </c>
      <c r="G343" s="80"/>
      <c r="H343" s="136">
        <f>Tableau3384[[#This Row],[Montant
CHF]]+Tableau3384[[#This Row],[Abzug/Spesen
CHF]]</f>
        <v>40</v>
      </c>
      <c r="I343" s="39"/>
      <c r="J343" s="40"/>
      <c r="K343" s="189"/>
      <c r="L343" s="298"/>
      <c r="M343" s="81"/>
      <c r="N343" s="21">
        <v>45461</v>
      </c>
      <c r="O343" s="282" t="str">
        <f>IF(Tableau3384[[#This Row],[Date du paiement]]&gt;0,"",Tableau3384[[#This Row],[Montant
CHF]])</f>
        <v/>
      </c>
      <c r="P343" s="276" t="str">
        <f>IF(Tableau3384[[#This Row],[Date du paiement]]="",$B$4-Tableau3384[[#This Row],[Écheance]],"")</f>
        <v/>
      </c>
      <c r="Q343" s="168" t="str">
        <f>IF(Tableau3384[[#This Row],[Date du paiement]]="",IF(Tableau3384[[#This Row],[jours jusqu''à l''écheance]]&gt;0,Tableau3384[[#This Row],[Montant
CHF]],""),"")</f>
        <v/>
      </c>
      <c r="R343" s="298" t="str">
        <f>IF(Tableau3384[[#This Row],[Date du paiement]]="",IF(Tableau3384[[#This Row],[jours jusqu''à l''écheance]]-($B$4-$B$11-1)&gt;0,Tableau3384[[#This Row],[Montant
CHF]],""),"")</f>
        <v/>
      </c>
      <c r="S343" s="142"/>
      <c r="T343" s="95" t="str">
        <f>IF(Tableau3384[[#This Row],[Paiements prevus]]="oui",Tableau3384[[#This Row],[Montant prevu à payer CH]],"")</f>
        <v/>
      </c>
      <c r="U343" s="177"/>
      <c r="V343" s="73" t="s">
        <v>738</v>
      </c>
      <c r="W343" s="68"/>
      <c r="X343" s="23">
        <v>45481</v>
      </c>
      <c r="Y343" s="7" t="s">
        <v>58</v>
      </c>
      <c r="Z343" s="120" t="str">
        <f>IF(Tableau3384[[#This Row],[Méthode du paiement]]="Mastercard","OUI","")</f>
        <v/>
      </c>
      <c r="AA343" s="6" t="s">
        <v>26</v>
      </c>
      <c r="AB343" s="6" t="s">
        <v>650</v>
      </c>
    </row>
    <row r="344" spans="1:28" hidden="1" x14ac:dyDescent="0.25">
      <c r="A344" s="9" t="s">
        <v>647</v>
      </c>
      <c r="B344" s="21">
        <v>45440</v>
      </c>
      <c r="C344" s="21">
        <v>45440</v>
      </c>
      <c r="D344" s="22" t="s">
        <v>183</v>
      </c>
      <c r="E344" s="11">
        <v>4269.3999999999996</v>
      </c>
      <c r="F344" s="88">
        <v>8.1</v>
      </c>
      <c r="G344" s="80"/>
      <c r="H344" s="136">
        <f>Tableau3384[[#This Row],[Montant
CHF]]+Tableau3384[[#This Row],[Abzug/Spesen
CHF]]</f>
        <v>4269.3999999999996</v>
      </c>
      <c r="I344" s="39"/>
      <c r="J344" s="40"/>
      <c r="K344" s="189"/>
      <c r="L344" s="298"/>
      <c r="M344" s="81"/>
      <c r="N344" s="21">
        <v>45471</v>
      </c>
      <c r="O344" s="282" t="str">
        <f>IF(Tableau3384[[#This Row],[Date du paiement]]&gt;0,"",Tableau3384[[#This Row],[Montant
CHF]])</f>
        <v/>
      </c>
      <c r="P344" s="276" t="str">
        <f>IF(Tableau3384[[#This Row],[Date du paiement]]="",$B$4-Tableau3384[[#This Row],[Écheance]],"")</f>
        <v/>
      </c>
      <c r="Q344" s="168" t="str">
        <f>IF(Tableau3384[[#This Row],[Date du paiement]]="",IF(Tableau3384[[#This Row],[jours jusqu''à l''écheance]]&gt;0,Tableau3384[[#This Row],[Montant
CHF]],""),"")</f>
        <v/>
      </c>
      <c r="R344" s="298" t="str">
        <f>IF(Tableau3384[[#This Row],[Date du paiement]]="",IF(Tableau3384[[#This Row],[jours jusqu''à l''écheance]]-($B$4-$B$11-1)&gt;0,Tableau3384[[#This Row],[Montant
CHF]],""),"")</f>
        <v/>
      </c>
      <c r="S344" s="142"/>
      <c r="T344" s="95" t="str">
        <f>IF(Tableau3384[[#This Row],[Paiements prevus]]="oui",Tableau3384[[#This Row],[Montant prevu à payer CH]],"")</f>
        <v/>
      </c>
      <c r="U344" s="177"/>
      <c r="V344" s="73" t="s">
        <v>738</v>
      </c>
      <c r="W344" s="68"/>
      <c r="X344" s="23">
        <v>45483</v>
      </c>
      <c r="Y344" s="7" t="s">
        <v>58</v>
      </c>
      <c r="Z344" s="120" t="str">
        <f>IF(Tableau3384[[#This Row],[Méthode du paiement]]="Mastercard","OUI","")</f>
        <v/>
      </c>
      <c r="AA344" s="6" t="s">
        <v>14</v>
      </c>
      <c r="AB344" s="6" t="s">
        <v>648</v>
      </c>
    </row>
    <row r="345" spans="1:28" hidden="1" x14ac:dyDescent="0.25">
      <c r="A345" s="9" t="s">
        <v>672</v>
      </c>
      <c r="B345" s="21">
        <v>45441</v>
      </c>
      <c r="C345" s="21">
        <v>45441</v>
      </c>
      <c r="D345" s="22" t="s">
        <v>117</v>
      </c>
      <c r="E345" s="11">
        <f>Tableau3384[[#This Row],[Montant
EUR]]*Tableau3384[[#This Row],[Taux 
de change]]</f>
        <v>502.74998800000003</v>
      </c>
      <c r="F345" s="88">
        <v>0</v>
      </c>
      <c r="G345" s="80"/>
      <c r="H345" s="136">
        <f>Tableau3384[[#This Row],[Montant
CHF]]+Tableau3384[[#This Row],[Abzug/Spesen
CHF]]</f>
        <v>502.74998800000003</v>
      </c>
      <c r="I345" s="39">
        <v>0.96682690000000004</v>
      </c>
      <c r="J345" s="40">
        <v>520</v>
      </c>
      <c r="K345" s="189"/>
      <c r="L345" s="298"/>
      <c r="M345" s="81"/>
      <c r="N345" s="21">
        <v>45471</v>
      </c>
      <c r="O345" s="282" t="str">
        <f>IF(Tableau3384[[#This Row],[Date du paiement]]&gt;0,"",Tableau3384[[#This Row],[Montant
CHF]])</f>
        <v/>
      </c>
      <c r="P345" s="276" t="str">
        <f>IF(Tableau3384[[#This Row],[Date du paiement]]="",$B$4-Tableau3384[[#This Row],[Écheance]],"")</f>
        <v/>
      </c>
      <c r="Q345" s="168" t="str">
        <f>IF(Tableau3384[[#This Row],[Date du paiement]]="",IF(Tableau3384[[#This Row],[jours jusqu''à l''écheance]]&gt;0,Tableau3384[[#This Row],[Montant
CHF]],""),"")</f>
        <v/>
      </c>
      <c r="R345" s="298" t="str">
        <f>IF(Tableau3384[[#This Row],[Date du paiement]]="",IF(Tableau3384[[#This Row],[jours jusqu''à l''écheance]]-($B$4-$B$11-1)&gt;0,Tableau3384[[#This Row],[Montant
CHF]],""),"")</f>
        <v/>
      </c>
      <c r="S345" s="142"/>
      <c r="T345" s="95" t="str">
        <f>IF(Tableau3384[[#This Row],[Paiements prevus]]="oui",Tableau3384[[#This Row],[Montant prevu à payer CH]],"")</f>
        <v/>
      </c>
      <c r="U345" s="177"/>
      <c r="V345" s="73" t="s">
        <v>737</v>
      </c>
      <c r="W345" s="68"/>
      <c r="X345" s="187">
        <v>45474</v>
      </c>
      <c r="Y345" s="181" t="s">
        <v>58</v>
      </c>
      <c r="Z345" s="120" t="str">
        <f>IF(Tableau3384[[#This Row],[Méthode du paiement]]="Mastercard","OUI","")</f>
        <v/>
      </c>
      <c r="AA345" s="6" t="s">
        <v>11</v>
      </c>
      <c r="AB345" s="6" t="s">
        <v>674</v>
      </c>
    </row>
    <row r="346" spans="1:28" hidden="1" x14ac:dyDescent="0.25">
      <c r="A346" s="9" t="s">
        <v>673</v>
      </c>
      <c r="B346" s="21">
        <v>45441</v>
      </c>
      <c r="C346" s="21">
        <v>45441</v>
      </c>
      <c r="D346" s="22" t="s">
        <v>117</v>
      </c>
      <c r="E346" s="11">
        <f>Tableau3384[[#This Row],[Montant
EUR]]*Tableau3384[[#This Row],[Taux 
de change]]</f>
        <v>2030.28</v>
      </c>
      <c r="F346" s="88">
        <v>0</v>
      </c>
      <c r="G346" s="80"/>
      <c r="H346" s="136">
        <f>Tableau3384[[#This Row],[Montant
CHF]]+Tableau3384[[#This Row],[Abzug/Spesen
CHF]]</f>
        <v>2030.28</v>
      </c>
      <c r="I346" s="39">
        <v>0.96679999999999999</v>
      </c>
      <c r="J346" s="40">
        <v>2100</v>
      </c>
      <c r="K346" s="189"/>
      <c r="L346" s="298"/>
      <c r="M346" s="81"/>
      <c r="N346" s="21">
        <v>45471</v>
      </c>
      <c r="O346" s="282" t="str">
        <f>IF(Tableau3384[[#This Row],[Date du paiement]]&gt;0,"",Tableau3384[[#This Row],[Montant
CHF]])</f>
        <v/>
      </c>
      <c r="P346" s="276" t="str">
        <f>IF(Tableau3384[[#This Row],[Date du paiement]]="",$B$4-Tableau3384[[#This Row],[Écheance]],"")</f>
        <v/>
      </c>
      <c r="Q346" s="168" t="str">
        <f>IF(Tableau3384[[#This Row],[Date du paiement]]="",IF(Tableau3384[[#This Row],[jours jusqu''à l''écheance]]&gt;0,Tableau3384[[#This Row],[Montant
CHF]],""),"")</f>
        <v/>
      </c>
      <c r="R346" s="298" t="str">
        <f>IF(Tableau3384[[#This Row],[Date du paiement]]="",IF(Tableau3384[[#This Row],[jours jusqu''à l''écheance]]-($B$4-$B$11-1)&gt;0,Tableau3384[[#This Row],[Montant
CHF]],""),"")</f>
        <v/>
      </c>
      <c r="S346" s="142"/>
      <c r="T346" s="95" t="str">
        <f>IF(Tableau3384[[#This Row],[Paiements prevus]]="oui",Tableau3384[[#This Row],[Montant prevu à payer CH]],"")</f>
        <v/>
      </c>
      <c r="U346" s="177"/>
      <c r="V346" s="73" t="s">
        <v>737</v>
      </c>
      <c r="W346" s="68"/>
      <c r="X346" s="23">
        <v>45474</v>
      </c>
      <c r="Y346" s="7" t="s">
        <v>58</v>
      </c>
      <c r="Z346" s="120" t="str">
        <f>IF(Tableau3384[[#This Row],[Méthode du paiement]]="Mastercard","OUI","")</f>
        <v/>
      </c>
      <c r="AA346" s="6" t="s">
        <v>14</v>
      </c>
      <c r="AB346" s="6" t="s">
        <v>674</v>
      </c>
    </row>
    <row r="347" spans="1:28" hidden="1" x14ac:dyDescent="0.25">
      <c r="A347" s="9" t="s">
        <v>670</v>
      </c>
      <c r="B347" s="21">
        <v>45441</v>
      </c>
      <c r="C347" s="21">
        <v>45442</v>
      </c>
      <c r="D347" s="22" t="s">
        <v>216</v>
      </c>
      <c r="E347" s="183">
        <v>61.95</v>
      </c>
      <c r="F347" s="88">
        <v>100</v>
      </c>
      <c r="G347" s="80"/>
      <c r="H347" s="136">
        <f>Tableau3384[[#This Row],[Montant
CHF]]+Tableau3384[[#This Row],[Abzug/Spesen
CHF]]</f>
        <v>61.95</v>
      </c>
      <c r="I347" s="39"/>
      <c r="J347" s="40"/>
      <c r="K347" s="189"/>
      <c r="L347" s="298"/>
      <c r="M347" s="81"/>
      <c r="N347" s="21">
        <v>45502</v>
      </c>
      <c r="O347" s="282" t="str">
        <f>IF(Tableau3384[[#This Row],[Date du paiement]]&gt;0,"",Tableau3384[[#This Row],[Montant
CHF]])</f>
        <v/>
      </c>
      <c r="P347" s="276" t="str">
        <f>IF(Tableau3384[[#This Row],[Date du paiement]]="",$B$4-Tableau3384[[#This Row],[Écheance]],"")</f>
        <v/>
      </c>
      <c r="Q347" s="168" t="str">
        <f>IF(Tableau3384[[#This Row],[Date du paiement]]="",IF(Tableau3384[[#This Row],[jours jusqu''à l''écheance]]&gt;0,Tableau3384[[#This Row],[Montant
CHF]],""),"")</f>
        <v/>
      </c>
      <c r="R347" s="298" t="str">
        <f>IF(Tableau3384[[#This Row],[Date du paiement]]="",IF(Tableau3384[[#This Row],[jours jusqu''à l''écheance]]-($B$4-$B$11-1)&gt;0,Tableau3384[[#This Row],[Montant
CHF]],""),"")</f>
        <v/>
      </c>
      <c r="S347" s="142"/>
      <c r="T347" s="95" t="str">
        <f>IF(Tableau3384[[#This Row],[Paiements prevus]]="oui",Tableau3384[[#This Row],[Montant prevu à payer CH]],"")</f>
        <v/>
      </c>
      <c r="U347" s="177"/>
      <c r="V347" s="73" t="s">
        <v>736</v>
      </c>
      <c r="W347" s="68"/>
      <c r="X347" s="23">
        <v>45502</v>
      </c>
      <c r="Y347" s="7" t="s">
        <v>58</v>
      </c>
      <c r="Z347" s="120" t="str">
        <f>IF(Tableau3384[[#This Row],[Méthode du paiement]]="Mastercard","OUI","")</f>
        <v/>
      </c>
      <c r="AA347" s="180" t="s">
        <v>604</v>
      </c>
      <c r="AB347" s="6" t="s">
        <v>677</v>
      </c>
    </row>
    <row r="348" spans="1:28" hidden="1" x14ac:dyDescent="0.25">
      <c r="A348" s="9" t="s">
        <v>704</v>
      </c>
      <c r="B348" s="21">
        <v>45441</v>
      </c>
      <c r="C348" s="21">
        <v>45442</v>
      </c>
      <c r="D348" s="22" t="s">
        <v>117</v>
      </c>
      <c r="E348" s="11">
        <f>Tableau3384[[#This Row],[Montant
EUR]]*Tableau3384[[#This Row],[Taux 
de change]]</f>
        <v>0</v>
      </c>
      <c r="F348" s="88">
        <v>0</v>
      </c>
      <c r="G348" s="80"/>
      <c r="H348" s="136">
        <f>Tableau3384[[#This Row],[Montant
CHF]]+Tableau3384[[#This Row],[Abzug/Spesen
CHF]]</f>
        <v>0</v>
      </c>
      <c r="I348" s="39">
        <v>1</v>
      </c>
      <c r="J348" s="40">
        <v>0</v>
      </c>
      <c r="K348" s="189"/>
      <c r="L348" s="298"/>
      <c r="M348" s="81"/>
      <c r="N348" s="21">
        <v>45441</v>
      </c>
      <c r="O348" s="282" t="str">
        <f>IF(Tableau3384[[#This Row],[Date du paiement]]&gt;0,"",Tableau3384[[#This Row],[Montant
CHF]])</f>
        <v/>
      </c>
      <c r="P348" s="276" t="str">
        <f>IF(Tableau3384[[#This Row],[Date du paiement]]="",$B$4-Tableau3384[[#This Row],[Écheance]],"")</f>
        <v/>
      </c>
      <c r="Q348" s="168" t="str">
        <f>IF(Tableau3384[[#This Row],[Date du paiement]]="",IF(Tableau3384[[#This Row],[jours jusqu''à l''écheance]]&gt;0,Tableau3384[[#This Row],[Montant
CHF]],""),"")</f>
        <v/>
      </c>
      <c r="R348" s="298" t="str">
        <f>IF(Tableau3384[[#This Row],[Date du paiement]]="",IF(Tableau3384[[#This Row],[jours jusqu''à l''écheance]]-($B$4-$B$11-1)&gt;0,Tableau3384[[#This Row],[Montant
CHF]],""),"")</f>
        <v/>
      </c>
      <c r="S348" s="142"/>
      <c r="T348" s="95" t="str">
        <f>IF(Tableau3384[[#This Row],[Paiements prevus]]="oui",Tableau3384[[#This Row],[Montant prevu à payer CH]],"")</f>
        <v/>
      </c>
      <c r="U348" s="177"/>
      <c r="V348" s="73"/>
      <c r="W348" s="68"/>
      <c r="X348" s="23">
        <v>45441</v>
      </c>
      <c r="Y348" s="7" t="s">
        <v>502</v>
      </c>
      <c r="Z348" s="120" t="str">
        <f>IF(Tableau3384[[#This Row],[Méthode du paiement]]="Mastercard","OUI","")</f>
        <v/>
      </c>
      <c r="AA348" s="6" t="s">
        <v>14</v>
      </c>
      <c r="AB348" s="6" t="s">
        <v>681</v>
      </c>
    </row>
    <row r="349" spans="1:28" hidden="1" x14ac:dyDescent="0.25">
      <c r="A349" s="9" t="s">
        <v>668</v>
      </c>
      <c r="B349" s="21">
        <v>45441</v>
      </c>
      <c r="C349" s="21">
        <v>45442</v>
      </c>
      <c r="D349" s="22" t="s">
        <v>196</v>
      </c>
      <c r="E349" s="11">
        <v>828.7</v>
      </c>
      <c r="F349" s="88">
        <v>8.1</v>
      </c>
      <c r="G349" s="80"/>
      <c r="H349" s="136">
        <f>Tableau3384[[#This Row],[Montant
CHF]]+Tableau3384[[#This Row],[Abzug/Spesen
CHF]]</f>
        <v>828.7</v>
      </c>
      <c r="I349" s="39"/>
      <c r="J349" s="40"/>
      <c r="K349" s="189"/>
      <c r="L349" s="298"/>
      <c r="M349" s="81"/>
      <c r="N349" s="21">
        <v>45451</v>
      </c>
      <c r="O349" s="282" t="str">
        <f>IF(Tableau3384[[#This Row],[Date du paiement]]&gt;0,"",Tableau3384[[#This Row],[Montant
CHF]])</f>
        <v/>
      </c>
      <c r="P349" s="276" t="str">
        <f>IF(Tableau3384[[#This Row],[Date du paiement]]="",$B$4-Tableau3384[[#This Row],[Écheance]],"")</f>
        <v/>
      </c>
      <c r="Q349" s="168" t="str">
        <f>IF(Tableau3384[[#This Row],[Date du paiement]]="",IF(Tableau3384[[#This Row],[jours jusqu''à l''écheance]]&gt;0,Tableau3384[[#This Row],[Montant
CHF]],""),"")</f>
        <v/>
      </c>
      <c r="R349" s="298" t="str">
        <f>IF(Tableau3384[[#This Row],[Date du paiement]]="",IF(Tableau3384[[#This Row],[jours jusqu''à l''écheance]]-($B$4-$B$11-1)&gt;0,Tableau3384[[#This Row],[Montant
CHF]],""),"")</f>
        <v/>
      </c>
      <c r="S349" s="142"/>
      <c r="T349" s="95" t="str">
        <f>IF(Tableau3384[[#This Row],[Paiements prevus]]="oui",Tableau3384[[#This Row],[Montant prevu à payer CH]],"")</f>
        <v/>
      </c>
      <c r="U349" s="177"/>
      <c r="V349" s="73" t="s">
        <v>735</v>
      </c>
      <c r="W349" s="68"/>
      <c r="X349" s="23">
        <v>45483</v>
      </c>
      <c r="Y349" s="7" t="s">
        <v>58</v>
      </c>
      <c r="Z349" s="120" t="str">
        <f>IF(Tableau3384[[#This Row],[Méthode du paiement]]="Mastercard","OUI","")</f>
        <v/>
      </c>
      <c r="AA349" s="6" t="s">
        <v>4</v>
      </c>
      <c r="AB349" s="6" t="s">
        <v>669</v>
      </c>
    </row>
    <row r="350" spans="1:28" hidden="1" x14ac:dyDescent="0.25">
      <c r="A350" s="9" t="s">
        <v>699</v>
      </c>
      <c r="B350" s="21">
        <v>45441</v>
      </c>
      <c r="C350" s="21">
        <v>45448</v>
      </c>
      <c r="D350" s="154" t="s">
        <v>700</v>
      </c>
      <c r="E350" s="11">
        <v>558.04999999999995</v>
      </c>
      <c r="F350" s="88">
        <v>0</v>
      </c>
      <c r="G350" s="80"/>
      <c r="H350" s="136">
        <f>Tableau3384[[#This Row],[Montant
CHF]]+Tableau3384[[#This Row],[Abzug/Spesen
CHF]]</f>
        <v>558.04999999999995</v>
      </c>
      <c r="I350" s="39"/>
      <c r="J350" s="40"/>
      <c r="K350" s="189"/>
      <c r="L350" s="298"/>
      <c r="M350" s="81"/>
      <c r="N350" s="21">
        <v>45486</v>
      </c>
      <c r="O350" s="282" t="str">
        <f>IF(Tableau3384[[#This Row],[Date du paiement]]&gt;0,"",Tableau3384[[#This Row],[Montant
CHF]])</f>
        <v/>
      </c>
      <c r="P350" s="276" t="str">
        <f>IF(Tableau3384[[#This Row],[Date du paiement]]="",$B$4-Tableau3384[[#This Row],[Écheance]],"")</f>
        <v/>
      </c>
      <c r="Q350" s="168" t="str">
        <f>IF(Tableau3384[[#This Row],[Date du paiement]]="",IF(Tableau3384[[#This Row],[jours jusqu''à l''écheance]]&gt;0,Tableau3384[[#This Row],[Montant
CHF]],""),"")</f>
        <v/>
      </c>
      <c r="R350" s="298" t="str">
        <f>IF(Tableau3384[[#This Row],[Date du paiement]]="",IF(Tableau3384[[#This Row],[jours jusqu''à l''écheance]]-($B$4-$B$11-1)&gt;0,Tableau3384[[#This Row],[Montant
CHF]],""),"")</f>
        <v/>
      </c>
      <c r="S350" s="142"/>
      <c r="T350" s="95" t="str">
        <f>IF(Tableau3384[[#This Row],[Paiements prevus]]="oui",Tableau3384[[#This Row],[Montant prevu à payer CH]],"")</f>
        <v/>
      </c>
      <c r="U350" s="177"/>
      <c r="V350" s="73" t="s">
        <v>735</v>
      </c>
      <c r="W350" s="68"/>
      <c r="X350" s="23">
        <v>45488</v>
      </c>
      <c r="Y350" s="7" t="s">
        <v>58</v>
      </c>
      <c r="Z350" s="120" t="str">
        <f>IF(Tableau3384[[#This Row],[Méthode du paiement]]="Mastercard","OUI","")</f>
        <v/>
      </c>
      <c r="AA350" s="180" t="s">
        <v>43</v>
      </c>
      <c r="AB350" s="6" t="s">
        <v>701</v>
      </c>
    </row>
    <row r="351" spans="1:28" hidden="1" x14ac:dyDescent="0.25">
      <c r="A351" s="9" t="s">
        <v>665</v>
      </c>
      <c r="B351" s="21">
        <v>45442</v>
      </c>
      <c r="C351" s="21">
        <v>45442</v>
      </c>
      <c r="D351" s="186" t="s">
        <v>666</v>
      </c>
      <c r="E351" s="11">
        <v>2260</v>
      </c>
      <c r="F351" s="88">
        <v>0</v>
      </c>
      <c r="G351" s="80"/>
      <c r="H351" s="136">
        <f>Tableau3384[[#This Row],[Montant
CHF]]+Tableau3384[[#This Row],[Abzug/Spesen
CHF]]</f>
        <v>2260</v>
      </c>
      <c r="I351" s="39"/>
      <c r="J351" s="40"/>
      <c r="K351" s="189"/>
      <c r="L351" s="298"/>
      <c r="M351" s="81" t="s">
        <v>676</v>
      </c>
      <c r="N351" s="21">
        <v>45442</v>
      </c>
      <c r="O351" s="282" t="str">
        <f>IF(Tableau3384[[#This Row],[Date du paiement]]&gt;0,"",Tableau3384[[#This Row],[Montant
CHF]])</f>
        <v/>
      </c>
      <c r="P351" s="276" t="str">
        <f>IF(Tableau3384[[#This Row],[Date du paiement]]="",$B$4-Tableau3384[[#This Row],[Écheance]],"")</f>
        <v/>
      </c>
      <c r="Q351" s="168" t="str">
        <f>IF(Tableau3384[[#This Row],[Date du paiement]]="",IF(Tableau3384[[#This Row],[jours jusqu''à l''écheance]]&gt;0,Tableau3384[[#This Row],[Montant
CHF]],""),"")</f>
        <v/>
      </c>
      <c r="R351" s="298" t="str">
        <f>IF(Tableau3384[[#This Row],[Date du paiement]]="",IF(Tableau3384[[#This Row],[jours jusqu''à l''écheance]]-($B$4-$B$11-1)&gt;0,Tableau3384[[#This Row],[Montant
CHF]],""),"")</f>
        <v/>
      </c>
      <c r="S351" s="142"/>
      <c r="T351" s="95" t="str">
        <f>IF(Tableau3384[[#This Row],[Paiements prevus]]="oui",Tableau3384[[#This Row],[Montant prevu à payer CH]],"")</f>
        <v/>
      </c>
      <c r="U351" s="177"/>
      <c r="V351" s="73" t="s">
        <v>737</v>
      </c>
      <c r="W351" s="68"/>
      <c r="X351" s="23">
        <v>45446</v>
      </c>
      <c r="Y351" s="7" t="s">
        <v>58</v>
      </c>
      <c r="Z351" s="120" t="str">
        <f>IF(Tableau3384[[#This Row],[Méthode du paiement]]="Mastercard","OUI","")</f>
        <v/>
      </c>
      <c r="AA351" s="6" t="s">
        <v>14</v>
      </c>
      <c r="AB351" s="6" t="s">
        <v>667</v>
      </c>
    </row>
    <row r="352" spans="1:28" hidden="1" x14ac:dyDescent="0.25">
      <c r="A352" s="9" t="s">
        <v>697</v>
      </c>
      <c r="B352" s="21">
        <v>45442</v>
      </c>
      <c r="C352" s="21">
        <v>45448</v>
      </c>
      <c r="D352" s="22" t="s">
        <v>400</v>
      </c>
      <c r="E352" s="11">
        <v>33.380000000000003</v>
      </c>
      <c r="F352" s="88" t="s">
        <v>0</v>
      </c>
      <c r="G352" s="80"/>
      <c r="H352" s="136">
        <f>Tableau3384[[#This Row],[Montant
CHF]]+Tableau3384[[#This Row],[Abzug/Spesen
CHF]]</f>
        <v>33.380000000000003</v>
      </c>
      <c r="I352" s="39"/>
      <c r="J352" s="40"/>
      <c r="K352" s="189"/>
      <c r="L352" s="298"/>
      <c r="M352" s="81"/>
      <c r="N352" s="21">
        <v>45449</v>
      </c>
      <c r="O352" s="282" t="str">
        <f>IF(Tableau3384[[#This Row],[Date du paiement]]&gt;0,"",Tableau3384[[#This Row],[Montant
CHF]])</f>
        <v/>
      </c>
      <c r="P352" s="276" t="str">
        <f>IF(Tableau3384[[#This Row],[Date du paiement]]="",$B$4-Tableau3384[[#This Row],[Écheance]],"")</f>
        <v/>
      </c>
      <c r="Q352" s="168" t="str">
        <f>IF(Tableau3384[[#This Row],[Date du paiement]]="",IF(Tableau3384[[#This Row],[jours jusqu''à l''écheance]]&gt;0,Tableau3384[[#This Row],[Montant
CHF]],""),"")</f>
        <v/>
      </c>
      <c r="R352" s="298" t="str">
        <f>IF(Tableau3384[[#This Row],[Date du paiement]]="",IF(Tableau3384[[#This Row],[jours jusqu''à l''écheance]]-($B$4-$B$11-1)&gt;0,Tableau3384[[#This Row],[Montant
CHF]],""),"")</f>
        <v/>
      </c>
      <c r="S352" s="142"/>
      <c r="T352" s="95" t="str">
        <f>IF(Tableau3384[[#This Row],[Paiements prevus]]="oui",Tableau3384[[#This Row],[Montant prevu à payer CH]],"")</f>
        <v/>
      </c>
      <c r="U352" s="130"/>
      <c r="V352" s="73" t="s">
        <v>1151</v>
      </c>
      <c r="W352" s="68"/>
      <c r="X352" s="23">
        <v>45481</v>
      </c>
      <c r="Y352" s="7" t="s">
        <v>58</v>
      </c>
      <c r="Z352" s="120" t="str">
        <f>IF(Tableau3384[[#This Row],[Méthode du paiement]]="Mastercard","OUI","")</f>
        <v/>
      </c>
      <c r="AA352" s="180" t="s">
        <v>11</v>
      </c>
      <c r="AB352" s="6" t="s">
        <v>698</v>
      </c>
    </row>
    <row r="353" spans="1:28" hidden="1" x14ac:dyDescent="0.25">
      <c r="A353" s="182" t="s">
        <v>31</v>
      </c>
      <c r="B353" s="21">
        <v>45443</v>
      </c>
      <c r="C353" s="21">
        <v>45443</v>
      </c>
      <c r="D353" s="186" t="s">
        <v>186</v>
      </c>
      <c r="E353" s="183">
        <v>16707.57</v>
      </c>
      <c r="F353" s="88">
        <v>100</v>
      </c>
      <c r="G353" s="80"/>
      <c r="H353" s="136">
        <f>Tableau3384[[#This Row],[Montant
CHF]]+Tableau3384[[#This Row],[Abzug/Spesen
CHF]]</f>
        <v>16707.57</v>
      </c>
      <c r="I353" s="39"/>
      <c r="J353" s="40"/>
      <c r="K353" s="189"/>
      <c r="L353" s="298"/>
      <c r="M353" s="81"/>
      <c r="N353" s="21">
        <v>45443</v>
      </c>
      <c r="O353" s="282" t="str">
        <f>IF(Tableau3384[[#This Row],[Date du paiement]]&gt;0,"",Tableau3384[[#This Row],[Montant
CHF]])</f>
        <v/>
      </c>
      <c r="P353" s="276" t="str">
        <f>IF(Tableau3384[[#This Row],[Date du paiement]]="",$B$4-Tableau3384[[#This Row],[Écheance]],"")</f>
        <v/>
      </c>
      <c r="Q353" s="168" t="str">
        <f>IF(Tableau3384[[#This Row],[Date du paiement]]="",IF(Tableau3384[[#This Row],[jours jusqu''à l''écheance]]&gt;0,Tableau3384[[#This Row],[Montant
CHF]],""),"")</f>
        <v/>
      </c>
      <c r="R353" s="298" t="str">
        <f>IF(Tableau3384[[#This Row],[Date du paiement]]="",IF(Tableau3384[[#This Row],[jours jusqu''à l''écheance]]-($B$4-$B$11-1)&gt;0,Tableau3384[[#This Row],[Montant
CHF]],""),"")</f>
        <v/>
      </c>
      <c r="S353" s="142"/>
      <c r="T353" s="95" t="str">
        <f>IF(Tableau3384[[#This Row],[Paiements prevus]]="oui",Tableau3384[[#This Row],[Montant prevu à payer CH]],"")</f>
        <v/>
      </c>
      <c r="U353" s="130"/>
      <c r="V353" s="73" t="s">
        <v>1075</v>
      </c>
      <c r="W353" s="68"/>
      <c r="X353" s="23">
        <v>45503</v>
      </c>
      <c r="Y353" s="7" t="s">
        <v>58</v>
      </c>
      <c r="Z353" s="120" t="str">
        <f>IF(Tableau3384[[#This Row],[Méthode du paiement]]="Mastercard","OUI","")</f>
        <v/>
      </c>
      <c r="AA353" s="160" t="s">
        <v>604</v>
      </c>
      <c r="AB353" s="6" t="s">
        <v>31</v>
      </c>
    </row>
    <row r="354" spans="1:28" hidden="1" x14ac:dyDescent="0.25">
      <c r="A354" s="182" t="s">
        <v>671</v>
      </c>
      <c r="B354" s="185">
        <v>45443</v>
      </c>
      <c r="C354" s="185">
        <v>45443</v>
      </c>
      <c r="D354" s="186" t="s">
        <v>101</v>
      </c>
      <c r="E354" s="11">
        <v>117.79</v>
      </c>
      <c r="F354" s="195">
        <v>8.1</v>
      </c>
      <c r="G354" s="193"/>
      <c r="H354" s="136">
        <f>Tableau3384[[#This Row],[Montant
CHF]]+Tableau3384[[#This Row],[Abzug/Spesen
CHF]]</f>
        <v>117.79</v>
      </c>
      <c r="I354" s="188"/>
      <c r="J354" s="189"/>
      <c r="K354" s="189"/>
      <c r="L354" s="298"/>
      <c r="M354" s="194"/>
      <c r="N354" s="185">
        <v>45473</v>
      </c>
      <c r="O354" s="282" t="str">
        <f>IF(Tableau3384[[#This Row],[Date du paiement]]&gt;0,"",Tableau3384[[#This Row],[Montant
CHF]])</f>
        <v/>
      </c>
      <c r="P354" s="276" t="str">
        <f>IF(Tableau3384[[#This Row],[Date du paiement]]="",$B$4-Tableau3384[[#This Row],[Écheance]],"")</f>
        <v/>
      </c>
      <c r="Q354" s="168" t="str">
        <f>IF(Tableau3384[[#This Row],[Date du paiement]]="",IF(Tableau3384[[#This Row],[jours jusqu''à l''écheance]]&gt;0,Tableau3384[[#This Row],[Montant
CHF]],""),"")</f>
        <v/>
      </c>
      <c r="R354" s="298" t="str">
        <f>IF(Tableau3384[[#This Row],[Date du paiement]]="",IF(Tableau3384[[#This Row],[jours jusqu''à l''écheance]]-($B$4-$B$11-1)&gt;0,Tableau3384[[#This Row],[Montant
CHF]],""),"")</f>
        <v/>
      </c>
      <c r="S354" s="142"/>
      <c r="T354" s="95" t="str">
        <f>IF(Tableau3384[[#This Row],[Paiements prevus]]="oui",Tableau3384[[#This Row],[Montant prevu à payer CH]],"")</f>
        <v/>
      </c>
      <c r="U354" s="177"/>
      <c r="V354" s="73" t="s">
        <v>735</v>
      </c>
      <c r="W354" s="68"/>
      <c r="X354" s="23">
        <v>45483</v>
      </c>
      <c r="Y354" s="7" t="s">
        <v>58</v>
      </c>
      <c r="Z354" s="120" t="str">
        <f>IF(Tableau3384[[#This Row],[Méthode du paiement]]="Mastercard","OUI","")</f>
        <v/>
      </c>
      <c r="AA354" s="180" t="s">
        <v>102</v>
      </c>
      <c r="AB354" s="180" t="s">
        <v>414</v>
      </c>
    </row>
    <row r="355" spans="1:28" hidden="1" x14ac:dyDescent="0.25">
      <c r="A355" s="9" t="s">
        <v>695</v>
      </c>
      <c r="B355" s="21">
        <v>45443</v>
      </c>
      <c r="C355" s="21">
        <v>45443</v>
      </c>
      <c r="D355" s="22" t="s">
        <v>120</v>
      </c>
      <c r="E355" s="11">
        <v>600</v>
      </c>
      <c r="F355" s="88">
        <v>0</v>
      </c>
      <c r="G355" s="80"/>
      <c r="H355" s="136">
        <f>Tableau3384[[#This Row],[Montant
CHF]]+Tableau3384[[#This Row],[Abzug/Spesen
CHF]]</f>
        <v>600</v>
      </c>
      <c r="I355" s="39"/>
      <c r="J355" s="40"/>
      <c r="K355" s="189"/>
      <c r="L355" s="298"/>
      <c r="M355" s="81"/>
      <c r="N355" s="21">
        <v>45473</v>
      </c>
      <c r="O355" s="282" t="str">
        <f>IF(Tableau3384[[#This Row],[Date du paiement]]&gt;0,"",Tableau3384[[#This Row],[Montant
CHF]])</f>
        <v/>
      </c>
      <c r="P355" s="276" t="str">
        <f>IF(Tableau3384[[#This Row],[Date du paiement]]="",$B$4-Tableau3384[[#This Row],[Écheance]],"")</f>
        <v/>
      </c>
      <c r="Q355" s="168" t="str">
        <f>IF(Tableau3384[[#This Row],[Date du paiement]]="",IF(Tableau3384[[#This Row],[jours jusqu''à l''écheance]]&gt;0,Tableau3384[[#This Row],[Montant
CHF]],""),"")</f>
        <v/>
      </c>
      <c r="R355" s="298" t="str">
        <f>IF(Tableau3384[[#This Row],[Date du paiement]]="",IF(Tableau3384[[#This Row],[jours jusqu''à l''écheance]]-($B$4-$B$11-1)&gt;0,Tableau3384[[#This Row],[Montant
CHF]],""),"")</f>
        <v/>
      </c>
      <c r="S355" s="142"/>
      <c r="T355" s="95" t="str">
        <f>IF(Tableau3384[[#This Row],[Paiements prevus]]="oui",Tableau3384[[#This Row],[Montant prevu à payer CH]],"")</f>
        <v/>
      </c>
      <c r="U355" s="177"/>
      <c r="V355" s="73" t="s">
        <v>735</v>
      </c>
      <c r="W355" s="68"/>
      <c r="X355" s="23">
        <v>45483</v>
      </c>
      <c r="Y355" s="7" t="s">
        <v>58</v>
      </c>
      <c r="Z355" s="120" t="str">
        <f>IF(Tableau3384[[#This Row],[Méthode du paiement]]="Mastercard","OUI","")</f>
        <v/>
      </c>
      <c r="AA355" s="180" t="s">
        <v>43</v>
      </c>
      <c r="AB355" s="6" t="s">
        <v>414</v>
      </c>
    </row>
    <row r="356" spans="1:28" hidden="1" x14ac:dyDescent="0.25">
      <c r="A356" s="182" t="s">
        <v>689</v>
      </c>
      <c r="B356" s="21">
        <v>45443</v>
      </c>
      <c r="C356" s="21">
        <v>45446</v>
      </c>
      <c r="D356" s="186" t="s">
        <v>94</v>
      </c>
      <c r="E356" s="11">
        <v>397.14</v>
      </c>
      <c r="F356" s="88">
        <v>8.1</v>
      </c>
      <c r="G356" s="80"/>
      <c r="H356" s="136">
        <f>Tableau3384[[#This Row],[Montant
CHF]]+Tableau3384[[#This Row],[Abzug/Spesen
CHF]]</f>
        <v>397.14</v>
      </c>
      <c r="I356" s="39"/>
      <c r="J356" s="40"/>
      <c r="K356" s="189"/>
      <c r="L356" s="298"/>
      <c r="M356" s="81"/>
      <c r="N356" s="21">
        <v>45473</v>
      </c>
      <c r="O356" s="282" t="str">
        <f>IF(Tableau3384[[#This Row],[Date du paiement]]&gt;0,"",Tableau3384[[#This Row],[Montant
CHF]])</f>
        <v/>
      </c>
      <c r="P356" s="276" t="str">
        <f>IF(Tableau3384[[#This Row],[Date du paiement]]="",$B$4-Tableau3384[[#This Row],[Écheance]],"")</f>
        <v/>
      </c>
      <c r="Q356" s="168" t="str">
        <f>IF(Tableau3384[[#This Row],[Date du paiement]]="",IF(Tableau3384[[#This Row],[jours jusqu''à l''écheance]]&gt;0,Tableau3384[[#This Row],[Montant
CHF]],""),"")</f>
        <v/>
      </c>
      <c r="R356" s="298" t="str">
        <f>IF(Tableau3384[[#This Row],[Date du paiement]]="",IF(Tableau3384[[#This Row],[jours jusqu''à l''écheance]]-($B$4-$B$11-1)&gt;0,Tableau3384[[#This Row],[Montant
CHF]],""),"")</f>
        <v/>
      </c>
      <c r="S356" s="142"/>
      <c r="T356" s="95" t="str">
        <f>IF(Tableau3384[[#This Row],[Paiements prevus]]="oui",Tableau3384[[#This Row],[Montant prevu à payer CH]],"")</f>
        <v/>
      </c>
      <c r="U356" s="177"/>
      <c r="V356" s="73" t="s">
        <v>738</v>
      </c>
      <c r="W356" s="68"/>
      <c r="X356" s="23">
        <v>45483</v>
      </c>
      <c r="Y356" s="7" t="s">
        <v>58</v>
      </c>
      <c r="Z356" s="120" t="str">
        <f>IF(Tableau3384[[#This Row],[Méthode du paiement]]="Mastercard","OUI","")</f>
        <v/>
      </c>
      <c r="AA356" s="6" t="s">
        <v>96</v>
      </c>
      <c r="AB356" s="6" t="s">
        <v>690</v>
      </c>
    </row>
    <row r="357" spans="1:28" hidden="1" x14ac:dyDescent="0.25">
      <c r="A357" s="9" t="s">
        <v>678</v>
      </c>
      <c r="B357" s="21">
        <v>45443</v>
      </c>
      <c r="C357" s="21">
        <v>45447</v>
      </c>
      <c r="D357" s="22" t="s">
        <v>240</v>
      </c>
      <c r="E357" s="11">
        <f>Tableau3384[[#This Row],[Montant
EUR]]*Tableau3384[[#This Row],[Taux 
de change]]</f>
        <v>3552.0555939999999</v>
      </c>
      <c r="F357" s="88">
        <v>0</v>
      </c>
      <c r="G357" s="80"/>
      <c r="H357" s="136">
        <f>Tableau3384[[#This Row],[Montant
CHF]]+Tableau3384[[#This Row],[Abzug/Spesen
CHF]]</f>
        <v>3552.0555939999999</v>
      </c>
      <c r="I357" s="39">
        <v>0.98972000000000004</v>
      </c>
      <c r="J357" s="40">
        <v>3588.95</v>
      </c>
      <c r="K357" s="189"/>
      <c r="L357" s="298"/>
      <c r="M357" s="81"/>
      <c r="N357" s="21">
        <v>45473</v>
      </c>
      <c r="O357" s="282" t="str">
        <f>IF(Tableau3384[[#This Row],[Date du paiement]]&gt;0,"",Tableau3384[[#This Row],[Montant
CHF]])</f>
        <v/>
      </c>
      <c r="P357" s="276" t="str">
        <f>IF(Tableau3384[[#This Row],[Date du paiement]]="",$B$4-Tableau3384[[#This Row],[Écheance]],"")</f>
        <v/>
      </c>
      <c r="Q357" s="168" t="str">
        <f>IF(Tableau3384[[#This Row],[Date du paiement]]="",IF(Tableau3384[[#This Row],[jours jusqu''à l''écheance]]&gt;0,Tableau3384[[#This Row],[Montant
CHF]],""),"")</f>
        <v/>
      </c>
      <c r="R357" s="298" t="str">
        <f>IF(Tableau3384[[#This Row],[Date du paiement]]="",IF(Tableau3384[[#This Row],[jours jusqu''à l''écheance]]-($B$4-$B$11-1)&gt;0,Tableau3384[[#This Row],[Montant
CHF]],""),"")</f>
        <v/>
      </c>
      <c r="S357" s="142"/>
      <c r="T357" s="95" t="str">
        <f>IF(Tableau3384[[#This Row],[Paiements prevus]]="oui",Tableau3384[[#This Row],[Montant prevu à payer CH]],"")</f>
        <v/>
      </c>
      <c r="U357" s="177"/>
      <c r="V357" s="73" t="s">
        <v>737</v>
      </c>
      <c r="W357" s="68"/>
      <c r="X357" s="187">
        <v>45474</v>
      </c>
      <c r="Y357" s="181" t="s">
        <v>58</v>
      </c>
      <c r="Z357" s="120" t="str">
        <f>IF(Tableau3384[[#This Row],[Méthode du paiement]]="Mastercard","OUI","")</f>
        <v/>
      </c>
      <c r="AA357" s="6" t="s">
        <v>14</v>
      </c>
      <c r="AB357" s="6" t="s">
        <v>679</v>
      </c>
    </row>
    <row r="358" spans="1:28" hidden="1" x14ac:dyDescent="0.25">
      <c r="A358" s="9" t="s">
        <v>695</v>
      </c>
      <c r="B358" s="21">
        <v>45443</v>
      </c>
      <c r="C358" s="21">
        <v>45448</v>
      </c>
      <c r="D358" s="22" t="s">
        <v>362</v>
      </c>
      <c r="E358" s="11">
        <v>5328.65</v>
      </c>
      <c r="F358" s="88">
        <v>8.1</v>
      </c>
      <c r="G358" s="80">
        <v>-1075.2</v>
      </c>
      <c r="H358" s="136">
        <f>Tableau3384[[#This Row],[Montant
CHF]]+Tableau3384[[#This Row],[Abzug/Spesen
CHF]]</f>
        <v>4253.45</v>
      </c>
      <c r="I358" s="39"/>
      <c r="J358" s="40"/>
      <c r="K358" s="189"/>
      <c r="L358" s="298"/>
      <c r="M358" s="81" t="s">
        <v>1092</v>
      </c>
      <c r="N358" s="21">
        <v>45473</v>
      </c>
      <c r="O358" s="282" t="str">
        <f>IF(Tableau3384[[#This Row],[Date du paiement]]&gt;0,"",Tableau3384[[#This Row],[Montant
CHF]])</f>
        <v/>
      </c>
      <c r="P358" s="276" t="str">
        <f>IF(Tableau3384[[#This Row],[Date du paiement]]="",$B$4-Tableau3384[[#This Row],[Écheance]],"")</f>
        <v/>
      </c>
      <c r="Q358" s="168" t="str">
        <f>IF(Tableau3384[[#This Row],[Date du paiement]]="",IF(Tableau3384[[#This Row],[jours jusqu''à l''écheance]]&gt;0,Tableau3384[[#This Row],[Montant
CHF]],""),"")</f>
        <v/>
      </c>
      <c r="R358" s="298" t="str">
        <f>IF(Tableau3384[[#This Row],[Date du paiement]]="",IF(Tableau3384[[#This Row],[jours jusqu''à l''écheance]]-($B$4-$B$11-1)&gt;0,Tableau3384[[#This Row],[Montant
CHF]],""),"")</f>
        <v/>
      </c>
      <c r="S358" s="142"/>
      <c r="T358" s="95" t="str">
        <f>IF(Tableau3384[[#This Row],[Paiements prevus]]="oui",Tableau3384[[#This Row],[Montant prevu à payer CH]],"")</f>
        <v/>
      </c>
      <c r="U358" s="130"/>
      <c r="V358" s="73" t="s">
        <v>735</v>
      </c>
      <c r="W358" s="68"/>
      <c r="X358" s="23">
        <v>45471</v>
      </c>
      <c r="Y358" s="7" t="s">
        <v>58</v>
      </c>
      <c r="Z358" s="120" t="str">
        <f>IF(Tableau3384[[#This Row],[Méthode du paiement]]="Mastercard","OUI","")</f>
        <v/>
      </c>
      <c r="AA358" s="6" t="s">
        <v>4</v>
      </c>
      <c r="AB358" s="6" t="s">
        <v>696</v>
      </c>
    </row>
    <row r="359" spans="1:28" hidden="1" x14ac:dyDescent="0.25">
      <c r="A359" s="9" t="s">
        <v>706</v>
      </c>
      <c r="B359" s="21">
        <v>45443</v>
      </c>
      <c r="C359" s="21">
        <v>45449</v>
      </c>
      <c r="D359" s="22" t="s">
        <v>452</v>
      </c>
      <c r="E359" s="11">
        <v>1525.15</v>
      </c>
      <c r="F359" s="88">
        <v>8.1</v>
      </c>
      <c r="G359" s="80"/>
      <c r="H359" s="136">
        <f>Tableau3384[[#This Row],[Montant
CHF]]+Tableau3384[[#This Row],[Abzug/Spesen
CHF]]</f>
        <v>1525.15</v>
      </c>
      <c r="I359" s="39"/>
      <c r="J359" s="40"/>
      <c r="K359" s="189"/>
      <c r="L359" s="298"/>
      <c r="M359" s="81"/>
      <c r="N359" s="21">
        <v>45473</v>
      </c>
      <c r="O359" s="282" t="str">
        <f>IF(Tableau3384[[#This Row],[Date du paiement]]&gt;0,"",Tableau3384[[#This Row],[Montant
CHF]])</f>
        <v/>
      </c>
      <c r="P359" s="276" t="str">
        <f>IF(Tableau3384[[#This Row],[Date du paiement]]="",$B$4-Tableau3384[[#This Row],[Écheance]],"")</f>
        <v/>
      </c>
      <c r="Q359" s="168" t="str">
        <f>IF(Tableau3384[[#This Row],[Date du paiement]]="",IF(Tableau3384[[#This Row],[jours jusqu''à l''écheance]]&gt;0,Tableau3384[[#This Row],[Montant
CHF]],""),"")</f>
        <v/>
      </c>
      <c r="R359" s="298" t="str">
        <f>IF(Tableau3384[[#This Row],[Date du paiement]]="",IF(Tableau3384[[#This Row],[jours jusqu''à l''écheance]]-($B$4-$B$11-1)&gt;0,Tableau3384[[#This Row],[Montant
CHF]],""),"")</f>
        <v/>
      </c>
      <c r="S359" s="142"/>
      <c r="T359" s="95" t="str">
        <f>IF(Tableau3384[[#This Row],[Paiements prevus]]="oui",Tableau3384[[#This Row],[Montant prevu à payer CH]],"")</f>
        <v/>
      </c>
      <c r="U359" s="130"/>
      <c r="V359" s="73" t="s">
        <v>738</v>
      </c>
      <c r="W359" s="68"/>
      <c r="X359" s="23">
        <v>45474</v>
      </c>
      <c r="Y359" s="7" t="s">
        <v>58</v>
      </c>
      <c r="Z359" s="120" t="str">
        <f>IF(Tableau3384[[#This Row],[Méthode du paiement]]="Mastercard","OUI","")</f>
        <v/>
      </c>
      <c r="AA359" s="6" t="s">
        <v>294</v>
      </c>
      <c r="AB359" s="6" t="s">
        <v>707</v>
      </c>
    </row>
    <row r="360" spans="1:28" hidden="1" x14ac:dyDescent="0.25">
      <c r="A360" s="182" t="s">
        <v>731</v>
      </c>
      <c r="B360" s="21">
        <v>45443</v>
      </c>
      <c r="C360" s="21">
        <v>45453</v>
      </c>
      <c r="D360" s="154" t="s">
        <v>162</v>
      </c>
      <c r="E360" s="11">
        <f>29.85-0.3</f>
        <v>29.55</v>
      </c>
      <c r="F360" s="88">
        <v>8.1</v>
      </c>
      <c r="G360" s="80"/>
      <c r="H360" s="136">
        <f>Tableau3384[[#This Row],[Montant
CHF]]+Tableau3384[[#This Row],[Abzug/Spesen
CHF]]</f>
        <v>29.55</v>
      </c>
      <c r="I360" s="39"/>
      <c r="J360" s="40"/>
      <c r="K360" s="189"/>
      <c r="L360" s="298"/>
      <c r="M360" s="81" t="s">
        <v>732</v>
      </c>
      <c r="N360" s="21">
        <v>45473</v>
      </c>
      <c r="O360" s="282" t="str">
        <f>IF(Tableau3384[[#This Row],[Date du paiement]]&gt;0,"",Tableau3384[[#This Row],[Montant
CHF]])</f>
        <v/>
      </c>
      <c r="P360" s="287" t="str">
        <f>IF(Tableau3384[[#This Row],[Date du paiement]]="",$B$4-Tableau3384[[#This Row],[Écheance]],"")</f>
        <v/>
      </c>
      <c r="Q360" s="168" t="str">
        <f>IF(Tableau3384[[#This Row],[Date du paiement]]="",IF(Tableau3384[[#This Row],[jours jusqu''à l''écheance]]&gt;0,Tableau3384[[#This Row],[Montant
CHF]],""),"")</f>
        <v/>
      </c>
      <c r="R360" s="298" t="str">
        <f>IF(Tableau3384[[#This Row],[Date du paiement]]="",IF(Tableau3384[[#This Row],[jours jusqu''à l''écheance]]-($B$4-$B$11-1)&gt;0,Tableau3384[[#This Row],[Montant
CHF]],""),"")</f>
        <v/>
      </c>
      <c r="S360" s="142"/>
      <c r="T360" s="95" t="str">
        <f>IF(Tableau3384[[#This Row],[Paiements prevus]]="oui",Tableau3384[[#This Row],[Montant prevu à payer CH]],"")</f>
        <v/>
      </c>
      <c r="U360" s="130"/>
      <c r="V360" s="73" t="s">
        <v>735</v>
      </c>
      <c r="W360" s="68"/>
      <c r="X360" s="23">
        <v>45483</v>
      </c>
      <c r="Y360" s="7" t="s">
        <v>58</v>
      </c>
      <c r="Z360" s="120" t="str">
        <f>IF(Tableau3384[[#This Row],[Méthode du paiement]]="Mastercard","OUI","")</f>
        <v/>
      </c>
      <c r="AA360" s="180" t="s">
        <v>43</v>
      </c>
      <c r="AB360" s="6" t="s">
        <v>414</v>
      </c>
    </row>
    <row r="361" spans="1:28" hidden="1" x14ac:dyDescent="0.25">
      <c r="A361" s="182" t="s">
        <v>1328</v>
      </c>
      <c r="B361" s="21">
        <v>45443</v>
      </c>
      <c r="C361" s="21">
        <v>45481</v>
      </c>
      <c r="D361" s="186" t="s">
        <v>245</v>
      </c>
      <c r="E361" s="183">
        <f>Tableau3384[[#This Row],[Montant
EUR]]*Tableau3384[[#This Row],[Taux 
de change]]</f>
        <v>457.379993942</v>
      </c>
      <c r="F361" s="88">
        <v>0</v>
      </c>
      <c r="G361" s="80"/>
      <c r="H361" s="136">
        <f>Tableau3384[[#This Row],[Montant
CHF]]+Tableau3384[[#This Row],[Abzug/Spesen
CHF]]</f>
        <v>457.379993942</v>
      </c>
      <c r="I361" s="39">
        <v>0.97410229999999998</v>
      </c>
      <c r="J361" s="40">
        <v>469.54</v>
      </c>
      <c r="K361" s="189"/>
      <c r="L361" s="298"/>
      <c r="M361" s="81" t="s">
        <v>1173</v>
      </c>
      <c r="N361" s="21">
        <v>45473</v>
      </c>
      <c r="O361" s="282" t="str">
        <f>IF(Tableau3384[[#This Row],[Date du paiement]]&gt;0,"",Tableau3384[[#This Row],[Montant
CHF]])</f>
        <v/>
      </c>
      <c r="P361" s="287" t="str">
        <f>IF(Tableau3384[[#This Row],[Date du paiement]]="",$B$4-Tableau3384[[#This Row],[Écheance]],"")</f>
        <v/>
      </c>
      <c r="Q361" s="168" t="str">
        <f>IF(Tableau3384[[#This Row],[Date du paiement]]="",IF(Tableau3384[[#This Row],[jours jusqu''à l''écheance]]&gt;0,Tableau3384[[#This Row],[Montant
CHF]],""),"")</f>
        <v/>
      </c>
      <c r="R361" s="298" t="str">
        <f>IF(Tableau3384[[#This Row],[Date du paiement]]="",IF(Tableau3384[[#This Row],[jours jusqu''à l''écheance]]&gt;0,Tableau3384[[#This Row],[Montant
CHF]],""),"")</f>
        <v/>
      </c>
      <c r="S361" s="142"/>
      <c r="T361" s="95" t="str">
        <f>IF(Tableau3384[[#This Row],[Paiements prevus]]="oui",Tableau3384[[#This Row],[Montant prevu à payer CH]],"")</f>
        <v/>
      </c>
      <c r="U361" s="177"/>
      <c r="V361" s="73" t="s">
        <v>737</v>
      </c>
      <c r="W361" s="68"/>
      <c r="X361" s="23">
        <v>45483</v>
      </c>
      <c r="Y361" s="7" t="s">
        <v>58</v>
      </c>
      <c r="Z361" s="120" t="str">
        <f>IF(Tableau3384[[#This Row],[Méthode du paiement]]="Mastercard","OUI","")</f>
        <v/>
      </c>
      <c r="AA361" s="180" t="s">
        <v>11</v>
      </c>
      <c r="AB361" s="6" t="s">
        <v>1385</v>
      </c>
    </row>
    <row r="362" spans="1:28" hidden="1" x14ac:dyDescent="0.25">
      <c r="A362" s="9">
        <v>1245742</v>
      </c>
      <c r="B362" s="21">
        <v>45444</v>
      </c>
      <c r="C362" s="21">
        <v>45292</v>
      </c>
      <c r="D362" s="186" t="s">
        <v>2</v>
      </c>
      <c r="E362" s="11">
        <v>1523.55</v>
      </c>
      <c r="F362" s="88">
        <v>8.1</v>
      </c>
      <c r="G362" s="80"/>
      <c r="H362" s="136">
        <f>Tableau3384[[#This Row],[Montant
CHF]]+Tableau3384[[#This Row],[Abzug/Spesen
CHF]]</f>
        <v>1523.55</v>
      </c>
      <c r="I362" s="39"/>
      <c r="J362" s="40"/>
      <c r="K362" s="189"/>
      <c r="L362" s="298"/>
      <c r="M362" s="81"/>
      <c r="N362" s="21">
        <v>45444</v>
      </c>
      <c r="O362" s="282" t="str">
        <f>IF(Tableau3384[[#This Row],[Date du paiement]]&gt;0,"",Tableau3384[[#This Row],[Montant
CHF]])</f>
        <v/>
      </c>
      <c r="P362" s="276" t="str">
        <f>IF(Tableau3384[[#This Row],[Date du paiement]]="",$B$4-Tableau3384[[#This Row],[Écheance]],"")</f>
        <v/>
      </c>
      <c r="Q362" s="168" t="str">
        <f>IF(Tableau3384[[#This Row],[Date du paiement]]="",IF(Tableau3384[[#This Row],[jours jusqu''à l''écheance]]&gt;0,Tableau3384[[#This Row],[Montant
CHF]],""),"")</f>
        <v/>
      </c>
      <c r="R362" s="298" t="str">
        <f>IF(Tableau3384[[#This Row],[Date du paiement]]="",IF(Tableau3384[[#This Row],[jours jusqu''à l''écheance]]-($B$4-$B$11-1)&gt;0,Tableau3384[[#This Row],[Montant
CHF]],""),"")</f>
        <v/>
      </c>
      <c r="S362" s="142"/>
      <c r="T362" s="95" t="str">
        <f>IF(Tableau3384[[#This Row],[Paiements prevus]]="oui",Tableau3384[[#This Row],[Montant prevu à payer CH]],"")</f>
        <v/>
      </c>
      <c r="U362" s="176"/>
      <c r="V362" s="73"/>
      <c r="W362" s="68"/>
      <c r="X362" s="23">
        <v>45447</v>
      </c>
      <c r="Y362" s="7" t="s">
        <v>58</v>
      </c>
      <c r="Z362" s="120" t="str">
        <f>IF(Tableau3384[[#This Row],[Méthode du paiement]]="Mastercard","OUI","")</f>
        <v/>
      </c>
      <c r="AA362" s="180" t="s">
        <v>1162</v>
      </c>
      <c r="AB362" s="6" t="s">
        <v>557</v>
      </c>
    </row>
    <row r="363" spans="1:28" hidden="1" x14ac:dyDescent="0.25">
      <c r="A363" s="13" t="s">
        <v>632</v>
      </c>
      <c r="B363" s="21">
        <v>45444</v>
      </c>
      <c r="C363" s="21">
        <v>45292</v>
      </c>
      <c r="D363" s="22" t="s">
        <v>3</v>
      </c>
      <c r="E363" s="11">
        <v>3438</v>
      </c>
      <c r="F363" s="88">
        <v>0</v>
      </c>
      <c r="G363" s="80"/>
      <c r="H363" s="136">
        <f>Tableau3384[[#This Row],[Montant
CHF]]+Tableau3384[[#This Row],[Abzug/Spesen
CHF]]</f>
        <v>3438</v>
      </c>
      <c r="I363" s="39"/>
      <c r="J363" s="40"/>
      <c r="K363" s="189"/>
      <c r="L363" s="298"/>
      <c r="M363" s="81"/>
      <c r="N363" s="21">
        <v>45444</v>
      </c>
      <c r="O363" s="282" t="str">
        <f>IF(Tableau3384[[#This Row],[Date du paiement]]&gt;0,"",Tableau3384[[#This Row],[Montant
CHF]])</f>
        <v/>
      </c>
      <c r="P363" s="276" t="str">
        <f>IF(Tableau3384[[#This Row],[Date du paiement]]="",$B$4-Tableau3384[[#This Row],[Écheance]],"")</f>
        <v/>
      </c>
      <c r="Q363" s="168" t="str">
        <f>IF(Tableau3384[[#This Row],[Date du paiement]]="",IF(Tableau3384[[#This Row],[jours jusqu''à l''écheance]]&gt;0,Tableau3384[[#This Row],[Montant
CHF]],""),"")</f>
        <v/>
      </c>
      <c r="R363" s="298" t="str">
        <f>IF(Tableau3384[[#This Row],[Date du paiement]]="",IF(Tableau3384[[#This Row],[jours jusqu''à l''écheance]]+(#REF!-#REF!)&gt;0,Tableau3384[[#This Row],[Montant
CHF]],""),"")</f>
        <v/>
      </c>
      <c r="S363" s="142"/>
      <c r="T363" s="95" t="str">
        <f>IF(Tableau3384[[#This Row],[Paiements prevus]]="oui",Tableau3384[[#This Row],[Montant prevu à payer CH]],"")</f>
        <v/>
      </c>
      <c r="U363" s="176"/>
      <c r="V363" s="73"/>
      <c r="W363" s="68"/>
      <c r="X363" s="23">
        <v>45453</v>
      </c>
      <c r="Y363" s="7" t="s">
        <v>58</v>
      </c>
      <c r="Z363" s="120" t="str">
        <f>IF(Tableau3384[[#This Row],[Méthode du paiement]]="Mastercard","OUI","")</f>
        <v/>
      </c>
      <c r="AA363" s="6" t="s">
        <v>6</v>
      </c>
      <c r="AB363" s="6" t="s">
        <v>557</v>
      </c>
    </row>
    <row r="364" spans="1:28" hidden="1" x14ac:dyDescent="0.25">
      <c r="A364" s="182">
        <v>214112</v>
      </c>
      <c r="B364" s="21">
        <v>45444</v>
      </c>
      <c r="C364" s="21">
        <v>45292</v>
      </c>
      <c r="D364" s="186" t="s">
        <v>7</v>
      </c>
      <c r="E364" s="11">
        <v>11531</v>
      </c>
      <c r="F364" s="88">
        <v>0</v>
      </c>
      <c r="G364" s="80"/>
      <c r="H364" s="136">
        <f>Tableau3384[[#This Row],[Montant
CHF]]+Tableau3384[[#This Row],[Abzug/Spesen
CHF]]</f>
        <v>11531</v>
      </c>
      <c r="I364" s="39"/>
      <c r="J364" s="40"/>
      <c r="K364" s="189"/>
      <c r="L364" s="298"/>
      <c r="M364" s="81"/>
      <c r="N364" s="21">
        <v>45444</v>
      </c>
      <c r="O364" s="282" t="str">
        <f>IF(Tableau3384[[#This Row],[Date du paiement]]&gt;0,"",Tableau3384[[#This Row],[Montant
CHF]])</f>
        <v/>
      </c>
      <c r="P364" s="276" t="str">
        <f>IF(Tableau3384[[#This Row],[Date du paiement]]="",$B$4-Tableau3384[[#This Row],[Écheance]],"")</f>
        <v/>
      </c>
      <c r="Q364" s="168" t="str">
        <f>IF(Tableau3384[[#This Row],[Date du paiement]]="",IF(Tableau3384[[#This Row],[jours jusqu''à l''écheance]]&gt;0,Tableau3384[[#This Row],[Montant
CHF]],""),"")</f>
        <v/>
      </c>
      <c r="R364" s="298" t="str">
        <f>IF(Tableau3384[[#This Row],[Date du paiement]]="",IF(Tableau3384[[#This Row],[jours jusqu''à l''écheance]]+(#REF!-#REF!)&gt;0,Tableau3384[[#This Row],[Montant
CHF]],""),"")</f>
        <v/>
      </c>
      <c r="S364" s="142"/>
      <c r="T364" s="95" t="str">
        <f>IF(Tableau3384[[#This Row],[Paiements prevus]]="oui",Tableau3384[[#This Row],[Montant prevu à payer CH]],"")</f>
        <v/>
      </c>
      <c r="U364" s="176"/>
      <c r="V364" s="73"/>
      <c r="W364" s="68"/>
      <c r="X364" s="187">
        <v>45448</v>
      </c>
      <c r="Y364" s="181" t="s">
        <v>58</v>
      </c>
      <c r="Z364" s="120" t="str">
        <f>IF(Tableau3384[[#This Row],[Méthode du paiement]]="Mastercard","OUI","")</f>
        <v/>
      </c>
      <c r="AA364" s="6" t="s">
        <v>6</v>
      </c>
      <c r="AB364" s="6" t="s">
        <v>557</v>
      </c>
    </row>
    <row r="365" spans="1:28" hidden="1" x14ac:dyDescent="0.25">
      <c r="A365" s="9" t="s">
        <v>691</v>
      </c>
      <c r="B365" s="21">
        <v>45444</v>
      </c>
      <c r="C365" s="21">
        <v>45446</v>
      </c>
      <c r="D365" s="186" t="s">
        <v>46</v>
      </c>
      <c r="E365" s="11">
        <v>597.79</v>
      </c>
      <c r="F365" s="88">
        <v>8.1</v>
      </c>
      <c r="G365" s="80"/>
      <c r="H365" s="136">
        <f>Tableau3384[[#This Row],[Montant
CHF]]+Tableau3384[[#This Row],[Abzug/Spesen
CHF]]</f>
        <v>597.79</v>
      </c>
      <c r="I365" s="39"/>
      <c r="J365" s="40"/>
      <c r="K365" s="189"/>
      <c r="L365" s="298"/>
      <c r="M365" s="81"/>
      <c r="N365" s="21">
        <v>45474</v>
      </c>
      <c r="O365" s="282" t="str">
        <f>IF(Tableau3384[[#This Row],[Date du paiement]]&gt;0,"",Tableau3384[[#This Row],[Montant
CHF]])</f>
        <v/>
      </c>
      <c r="P365" s="276" t="str">
        <f>IF(Tableau3384[[#This Row],[Date du paiement]]="",$B$4-Tableau3384[[#This Row],[Écheance]],"")</f>
        <v/>
      </c>
      <c r="Q365" s="168" t="str">
        <f>IF(Tableau3384[[#This Row],[Date du paiement]]="",IF(Tableau3384[[#This Row],[jours jusqu''à l''écheance]]&gt;0,Tableau3384[[#This Row],[Montant
CHF]],""),"")</f>
        <v/>
      </c>
      <c r="R365" s="298" t="str">
        <f>IF(Tableau3384[[#This Row],[Date du paiement]]="",IF(Tableau3384[[#This Row],[jours jusqu''à l''écheance]]-($B$4-$B$11-1)&gt;0,Tableau3384[[#This Row],[Montant
CHF]],""),"")</f>
        <v/>
      </c>
      <c r="S365" s="142"/>
      <c r="T365" s="95" t="str">
        <f>IF(Tableau3384[[#This Row],[Paiements prevus]]="oui",Tableau3384[[#This Row],[Montant prevu à payer CH]],"")</f>
        <v/>
      </c>
      <c r="U365" s="177"/>
      <c r="V365" s="73" t="s">
        <v>735</v>
      </c>
      <c r="W365" s="68"/>
      <c r="X365" s="23">
        <v>45483</v>
      </c>
      <c r="Y365" s="181" t="s">
        <v>58</v>
      </c>
      <c r="Z365" s="120" t="str">
        <f>IF(Tableau3384[[#This Row],[Méthode du paiement]]="Mastercard","OUI","")</f>
        <v/>
      </c>
      <c r="AA365" s="180" t="s">
        <v>30</v>
      </c>
      <c r="AB365" s="6" t="s">
        <v>557</v>
      </c>
    </row>
    <row r="366" spans="1:28" hidden="1" x14ac:dyDescent="0.25">
      <c r="A366" s="9" t="s">
        <v>740</v>
      </c>
      <c r="B366" s="21">
        <v>45444</v>
      </c>
      <c r="C366" s="21">
        <v>45454</v>
      </c>
      <c r="D366" s="155" t="s">
        <v>130</v>
      </c>
      <c r="E366" s="11">
        <v>70.25</v>
      </c>
      <c r="F366" s="88">
        <v>8.1</v>
      </c>
      <c r="G366" s="80"/>
      <c r="H366" s="136">
        <f>Tableau3384[[#This Row],[Montant
CHF]]+Tableau3384[[#This Row],[Abzug/Spesen
CHF]]</f>
        <v>70.25</v>
      </c>
      <c r="I366" s="39"/>
      <c r="J366" s="40"/>
      <c r="K366" s="189"/>
      <c r="L366" s="298"/>
      <c r="M366" s="194"/>
      <c r="N366" s="21">
        <v>45473</v>
      </c>
      <c r="O366" s="282" t="str">
        <f>IF(Tableau3384[[#This Row],[Date du paiement]]&gt;0,"",Tableau3384[[#This Row],[Montant
CHF]])</f>
        <v/>
      </c>
      <c r="P366" s="287" t="str">
        <f>IF(Tableau3384[[#This Row],[Date du paiement]]="",$B$4-Tableau3384[[#This Row],[Écheance]],"")</f>
        <v/>
      </c>
      <c r="Q366" s="168" t="str">
        <f>IF(Tableau3384[[#This Row],[Date du paiement]]="",IF(Tableau3384[[#This Row],[jours jusqu''à l''écheance]]&gt;0,Tableau3384[[#This Row],[Montant
CHF]],""),"")</f>
        <v/>
      </c>
      <c r="R366" s="298" t="str">
        <f>IF(Tableau3384[[#This Row],[Date du paiement]]="",IF(Tableau3384[[#This Row],[jours jusqu''à l''écheance]]-($B$4-$B$11-1)&gt;0,Tableau3384[[#This Row],[Montant
CHF]],""),"")</f>
        <v/>
      </c>
      <c r="S366" s="142"/>
      <c r="T366" s="95" t="str">
        <f>IF(Tableau3384[[#This Row],[Paiements prevus]]="oui",Tableau3384[[#This Row],[Montant prevu à payer CH]],"")</f>
        <v/>
      </c>
      <c r="U366" s="177"/>
      <c r="V366" s="73" t="s">
        <v>735</v>
      </c>
      <c r="W366" s="68"/>
      <c r="X366" s="23">
        <v>45483</v>
      </c>
      <c r="Y366" s="7" t="s">
        <v>58</v>
      </c>
      <c r="Z366" s="120" t="str">
        <f>IF(Tableau3384[[#This Row],[Méthode du paiement]]="Mastercard","OUI","")</f>
        <v/>
      </c>
      <c r="AA366" s="6" t="s">
        <v>30</v>
      </c>
      <c r="AB366" s="6" t="s">
        <v>414</v>
      </c>
    </row>
    <row r="367" spans="1:28" hidden="1" x14ac:dyDescent="0.25">
      <c r="A367" s="9" t="s">
        <v>761</v>
      </c>
      <c r="B367" s="21">
        <v>45444</v>
      </c>
      <c r="C367" s="21">
        <v>45456</v>
      </c>
      <c r="D367" s="22" t="s">
        <v>220</v>
      </c>
      <c r="E367" s="11">
        <v>28774.5</v>
      </c>
      <c r="F367" s="88">
        <v>8.1</v>
      </c>
      <c r="G367" s="80"/>
      <c r="H367" s="136">
        <f>Tableau3384[[#This Row],[Montant
CHF]]+Tableau3384[[#This Row],[Abzug/Spesen
CHF]]</f>
        <v>28774.5</v>
      </c>
      <c r="I367" s="39"/>
      <c r="J367" s="40"/>
      <c r="K367" s="189"/>
      <c r="L367" s="298"/>
      <c r="M367" s="81"/>
      <c r="N367" s="21">
        <v>45474</v>
      </c>
      <c r="O367" s="282" t="str">
        <f>IF(Tableau3384[[#This Row],[Date du paiement]]&gt;0,"",Tableau3384[[#This Row],[Montant
CHF]])</f>
        <v/>
      </c>
      <c r="P367" s="287" t="str">
        <f>IF(Tableau3384[[#This Row],[Date du paiement]]="",$B$4-Tableau3384[[#This Row],[Écheance]],"")</f>
        <v/>
      </c>
      <c r="Q367" s="168" t="str">
        <f>IF(Tableau3384[[#This Row],[Date du paiement]]="",IF(Tableau3384[[#This Row],[jours jusqu''à l''écheance]]&gt;0,Tableau3384[[#This Row],[Montant
CHF]],""),"")</f>
        <v/>
      </c>
      <c r="R367" s="298" t="str">
        <f>IF(Tableau3384[[#This Row],[Date du paiement]]="",IF(Tableau3384[[#This Row],[jours jusqu''à l''écheance]]-($B$4-$B$11-1)&gt;0,Tableau3384[[#This Row],[Montant
CHF]],""),"")</f>
        <v/>
      </c>
      <c r="S367" s="142"/>
      <c r="T367" s="95" t="str">
        <f>IF(Tableau3384[[#This Row],[Paiements prevus]]="oui",Tableau3384[[#This Row],[Montant prevu à payer CH]],"")</f>
        <v/>
      </c>
      <c r="U367" s="177"/>
      <c r="V367" s="73" t="s">
        <v>735</v>
      </c>
      <c r="W367" s="68"/>
      <c r="X367" s="23">
        <v>45489</v>
      </c>
      <c r="Y367" s="7" t="s">
        <v>345</v>
      </c>
      <c r="Z367" s="120" t="str">
        <f>IF(Tableau3384[[#This Row],[Méthode du paiement]]="Mastercard","OUI","")</f>
        <v/>
      </c>
      <c r="AA367" s="180" t="s">
        <v>221</v>
      </c>
      <c r="AB367" s="6" t="s">
        <v>414</v>
      </c>
    </row>
    <row r="368" spans="1:28" hidden="1" x14ac:dyDescent="0.25">
      <c r="A368" s="149" t="s">
        <v>684</v>
      </c>
      <c r="B368" s="21">
        <v>45446</v>
      </c>
      <c r="C368" s="21">
        <v>45446</v>
      </c>
      <c r="D368" s="154" t="s">
        <v>48</v>
      </c>
      <c r="E368" s="11">
        <v>73.55</v>
      </c>
      <c r="F368" s="164">
        <v>8.1</v>
      </c>
      <c r="G368" s="80"/>
      <c r="H368" s="136">
        <f>Tableau3384[[#This Row],[Montant
CHF]]+Tableau3384[[#This Row],[Abzug/Spesen
CHF]]</f>
        <v>73.55</v>
      </c>
      <c r="I368" s="39"/>
      <c r="J368" s="40"/>
      <c r="K368" s="189"/>
      <c r="L368" s="298"/>
      <c r="M368" s="81"/>
      <c r="N368" s="21">
        <v>45457</v>
      </c>
      <c r="O368" s="282" t="str">
        <f>IF(Tableau3384[[#This Row],[Date du paiement]]&gt;0,"",Tableau3384[[#This Row],[Montant
CHF]])</f>
        <v/>
      </c>
      <c r="P368" s="276" t="str">
        <f>IF(Tableau3384[[#This Row],[Date du paiement]]="",$B$4-Tableau3384[[#This Row],[Écheance]],"")</f>
        <v/>
      </c>
      <c r="Q368" s="168" t="str">
        <f>IF(Tableau3384[[#This Row],[Date du paiement]]="",IF(Tableau3384[[#This Row],[jours jusqu''à l''écheance]]&gt;0,Tableau3384[[#This Row],[Montant
CHF]],""),"")</f>
        <v/>
      </c>
      <c r="R368" s="298" t="str">
        <f>IF(Tableau3384[[#This Row],[Date du paiement]]="",IF(Tableau3384[[#This Row],[jours jusqu''à l''écheance]]-($B$4-$B$11-1)&gt;0,Tableau3384[[#This Row],[Montant
CHF]],""),"")</f>
        <v/>
      </c>
      <c r="S368" s="142"/>
      <c r="T368" s="95" t="str">
        <f>IF(Tableau3384[[#This Row],[Paiements prevus]]="oui",Tableau3384[[#This Row],[Montant prevu à payer CH]],"")</f>
        <v/>
      </c>
      <c r="U368" s="130"/>
      <c r="V368" s="73" t="s">
        <v>735</v>
      </c>
      <c r="W368" s="68"/>
      <c r="X368" s="23">
        <v>45483</v>
      </c>
      <c r="Y368" s="7" t="s">
        <v>58</v>
      </c>
      <c r="Z368" s="120" t="str">
        <f>IF(Tableau3384[[#This Row],[Méthode du paiement]]="Mastercard","OUI","")</f>
        <v/>
      </c>
      <c r="AA368" s="148" t="s">
        <v>39</v>
      </c>
      <c r="AB368" s="6" t="s">
        <v>414</v>
      </c>
    </row>
    <row r="369" spans="1:28" hidden="1" x14ac:dyDescent="0.25">
      <c r="A369" s="9" t="s">
        <v>692</v>
      </c>
      <c r="B369" s="21">
        <v>45446</v>
      </c>
      <c r="C369" s="21">
        <v>45446</v>
      </c>
      <c r="D369" s="186" t="s">
        <v>50</v>
      </c>
      <c r="E369" s="183">
        <v>1046.45</v>
      </c>
      <c r="F369" s="88">
        <v>8.1</v>
      </c>
      <c r="G369" s="80"/>
      <c r="H369" s="136">
        <f>Tableau3384[[#This Row],[Montant
CHF]]+Tableau3384[[#This Row],[Abzug/Spesen
CHF]]</f>
        <v>1046.45</v>
      </c>
      <c r="I369" s="39"/>
      <c r="J369" s="40"/>
      <c r="K369" s="189"/>
      <c r="L369" s="298"/>
      <c r="M369" s="81"/>
      <c r="N369" s="21">
        <v>45473</v>
      </c>
      <c r="O369" s="282" t="str">
        <f>IF(Tableau3384[[#This Row],[Date du paiement]]&gt;0,"",Tableau3384[[#This Row],[Montant
CHF]])</f>
        <v/>
      </c>
      <c r="P369" s="276" t="str">
        <f>IF(Tableau3384[[#This Row],[Date du paiement]]="",$B$4-Tableau3384[[#This Row],[Écheance]],"")</f>
        <v/>
      </c>
      <c r="Q369" s="168" t="str">
        <f>IF(Tableau3384[[#This Row],[Date du paiement]]="",IF(Tableau3384[[#This Row],[jours jusqu''à l''écheance]]&gt;0,Tableau3384[[#This Row],[Montant
CHF]],""),"")</f>
        <v/>
      </c>
      <c r="R369" s="298" t="str">
        <f>IF(Tableau3384[[#This Row],[Date du paiement]]="",IF(Tableau3384[[#This Row],[jours jusqu''à l''écheance]]-($B$4-$B$11-1)&gt;0,Tableau3384[[#This Row],[Montant
CHF]],""),"")</f>
        <v/>
      </c>
      <c r="S369" s="142"/>
      <c r="T369" s="95" t="str">
        <f>IF(Tableau3384[[#This Row],[Paiements prevus]]="oui",Tableau3384[[#This Row],[Montant prevu à payer CH]],"")</f>
        <v/>
      </c>
      <c r="U369" s="177"/>
      <c r="V369" s="73" t="s">
        <v>735</v>
      </c>
      <c r="W369" s="68"/>
      <c r="X369" s="23">
        <v>45481</v>
      </c>
      <c r="Y369" s="7" t="s">
        <v>58</v>
      </c>
      <c r="Z369" s="120" t="str">
        <f>IF(Tableau3384[[#This Row],[Méthode du paiement]]="Mastercard","OUI","")</f>
        <v/>
      </c>
      <c r="AA369" s="18" t="s">
        <v>1431</v>
      </c>
      <c r="AB369" s="6" t="s">
        <v>414</v>
      </c>
    </row>
    <row r="370" spans="1:28" hidden="1" x14ac:dyDescent="0.25">
      <c r="A370" s="182" t="s">
        <v>688</v>
      </c>
      <c r="B370" s="21">
        <v>45446</v>
      </c>
      <c r="C370" s="21">
        <v>45447</v>
      </c>
      <c r="D370" s="186" t="s">
        <v>216</v>
      </c>
      <c r="E370" s="11">
        <v>1402.85</v>
      </c>
      <c r="F370" s="195">
        <v>100</v>
      </c>
      <c r="G370" s="80"/>
      <c r="H370" s="136">
        <f>Tableau3384[[#This Row],[Montant
CHF]]+Tableau3384[[#This Row],[Abzug/Spesen
CHF]]</f>
        <v>1402.85</v>
      </c>
      <c r="I370" s="39"/>
      <c r="J370" s="40"/>
      <c r="K370" s="189"/>
      <c r="L370" s="298"/>
      <c r="M370" s="81"/>
      <c r="N370" s="21">
        <v>45506</v>
      </c>
      <c r="O370" s="282" t="str">
        <f>IF(Tableau3384[[#This Row],[Date du paiement]]&gt;0,"",Tableau3384[[#This Row],[Montant
CHF]])</f>
        <v/>
      </c>
      <c r="P370" s="276" t="str">
        <f>IF(Tableau3384[[#This Row],[Date du paiement]]="",$B$4-Tableau3384[[#This Row],[Écheance]],"")</f>
        <v/>
      </c>
      <c r="Q370" s="168" t="str">
        <f>IF(Tableau3384[[#This Row],[Date du paiement]]="",IF(Tableau3384[[#This Row],[jours jusqu''à l''écheance]]&gt;0,Tableau3384[[#This Row],[Montant
CHF]],""),"")</f>
        <v/>
      </c>
      <c r="R370" s="298" t="str">
        <f>IF(Tableau3384[[#This Row],[Date du paiement]]="",IF(Tableau3384[[#This Row],[jours jusqu''à l''écheance]]-($B$4-$B$11-1)&gt;0,Tableau3384[[#This Row],[Montant
CHF]],""),"")</f>
        <v/>
      </c>
      <c r="S370" s="142"/>
      <c r="T370" s="95" t="str">
        <f>IF(Tableau3384[[#This Row],[Paiements prevus]]="oui",Tableau3384[[#This Row],[Montant prevu à payer CH]],"")</f>
        <v/>
      </c>
      <c r="U370" s="177"/>
      <c r="V370" s="73" t="s">
        <v>736</v>
      </c>
      <c r="W370" s="68"/>
      <c r="X370" s="23">
        <v>45510</v>
      </c>
      <c r="Y370" s="7" t="s">
        <v>58</v>
      </c>
      <c r="Z370" s="120" t="str">
        <f>IF(Tableau3384[[#This Row],[Méthode du paiement]]="Mastercard","OUI","")</f>
        <v/>
      </c>
      <c r="AA370" s="180" t="s">
        <v>604</v>
      </c>
      <c r="AB370" s="6" t="s">
        <v>650</v>
      </c>
    </row>
    <row r="371" spans="1:28" hidden="1" x14ac:dyDescent="0.25">
      <c r="A371" s="182" t="s">
        <v>682</v>
      </c>
      <c r="B371" s="21">
        <v>45447</v>
      </c>
      <c r="C371" s="21">
        <v>45447</v>
      </c>
      <c r="D371" s="22" t="s">
        <v>25</v>
      </c>
      <c r="E371" s="11">
        <v>40</v>
      </c>
      <c r="F371" s="88">
        <v>0</v>
      </c>
      <c r="G371" s="80"/>
      <c r="H371" s="136">
        <f>Tableau3384[[#This Row],[Montant
CHF]]+Tableau3384[[#This Row],[Abzug/Spesen
CHF]]</f>
        <v>40</v>
      </c>
      <c r="I371" s="39"/>
      <c r="J371" s="40"/>
      <c r="K371" s="189"/>
      <c r="L371" s="298"/>
      <c r="M371" s="81"/>
      <c r="N371" s="21">
        <v>45467</v>
      </c>
      <c r="O371" s="282" t="str">
        <f>IF(Tableau3384[[#This Row],[Date du paiement]]&gt;0,"",Tableau3384[[#This Row],[Montant
CHF]])</f>
        <v/>
      </c>
      <c r="P371" s="276" t="str">
        <f>IF(Tableau3384[[#This Row],[Date du paiement]]="",$B$4-Tableau3384[[#This Row],[Écheance]],"")</f>
        <v/>
      </c>
      <c r="Q371" s="168" t="str">
        <f>IF(Tableau3384[[#This Row],[Date du paiement]]="",IF(Tableau3384[[#This Row],[jours jusqu''à l''écheance]]&gt;0,Tableau3384[[#This Row],[Montant
CHF]],""),"")</f>
        <v/>
      </c>
      <c r="R371" s="298" t="str">
        <f>IF(Tableau3384[[#This Row],[Date du paiement]]="",IF(Tableau3384[[#This Row],[jours jusqu''à l''écheance]]-($B$4-$B$11-1)&gt;0,Tableau3384[[#This Row],[Montant
CHF]],""),"")</f>
        <v/>
      </c>
      <c r="S371" s="142"/>
      <c r="T371" s="95" t="str">
        <f>IF(Tableau3384[[#This Row],[Paiements prevus]]="oui",Tableau3384[[#This Row],[Montant prevu à payer CH]],"")</f>
        <v/>
      </c>
      <c r="U371" s="130"/>
      <c r="V371" s="73" t="s">
        <v>738</v>
      </c>
      <c r="W371" s="68"/>
      <c r="X371" s="23">
        <v>45483</v>
      </c>
      <c r="Y371" s="7" t="s">
        <v>58</v>
      </c>
      <c r="Z371" s="120" t="str">
        <f>IF(Tableau3384[[#This Row],[Méthode du paiement]]="Mastercard","OUI","")</f>
        <v/>
      </c>
      <c r="AA371" s="180" t="s">
        <v>26</v>
      </c>
      <c r="AB371" s="6" t="s">
        <v>683</v>
      </c>
    </row>
    <row r="372" spans="1:28" hidden="1" x14ac:dyDescent="0.25">
      <c r="A372" s="149" t="s">
        <v>680</v>
      </c>
      <c r="B372" s="21">
        <v>45447</v>
      </c>
      <c r="C372" s="21">
        <v>45447</v>
      </c>
      <c r="D372" s="22" t="s">
        <v>117</v>
      </c>
      <c r="E372" s="11">
        <f>Tableau3384[[#This Row],[Montant
EUR]]*Tableau3384[[#This Row],[Taux 
de change]]</f>
        <v>9.74</v>
      </c>
      <c r="F372" s="88">
        <v>0</v>
      </c>
      <c r="G372" s="80"/>
      <c r="H372" s="136">
        <f>Tableau3384[[#This Row],[Montant
CHF]]+Tableau3384[[#This Row],[Abzug/Spesen
CHF]]</f>
        <v>9.74</v>
      </c>
      <c r="I372" s="39">
        <v>0.97399999999999998</v>
      </c>
      <c r="J372" s="40">
        <v>10</v>
      </c>
      <c r="K372" s="189"/>
      <c r="L372" s="298"/>
      <c r="M372" s="81"/>
      <c r="N372" s="21">
        <v>45477</v>
      </c>
      <c r="O372" s="282" t="str">
        <f>IF(Tableau3384[[#This Row],[Date du paiement]]&gt;0,"",Tableau3384[[#This Row],[Montant
CHF]])</f>
        <v/>
      </c>
      <c r="P372" s="276" t="str">
        <f>IF(Tableau3384[[#This Row],[Date du paiement]]="",$B$4-Tableau3384[[#This Row],[Écheance]],"")</f>
        <v/>
      </c>
      <c r="Q372" s="168" t="str">
        <f>IF(Tableau3384[[#This Row],[Date du paiement]]="",IF(Tableau3384[[#This Row],[jours jusqu''à l''écheance]]&gt;0,Tableau3384[[#This Row],[Montant
CHF]],""),"")</f>
        <v/>
      </c>
      <c r="R372" s="298" t="str">
        <f>IF(Tableau3384[[#This Row],[Date du paiement]]="",IF(Tableau3384[[#This Row],[jours jusqu''à l''écheance]]-($B$4-$B$11-1)&gt;0,Tableau3384[[#This Row],[Montant
CHF]],""),"")</f>
        <v/>
      </c>
      <c r="S372" s="142"/>
      <c r="T372" s="95" t="str">
        <f>IF(Tableau3384[[#This Row],[Paiements prevus]]="oui",Tableau3384[[#This Row],[Montant prevu à payer CH]],"")</f>
        <v/>
      </c>
      <c r="U372" s="130"/>
      <c r="V372" s="73" t="s">
        <v>737</v>
      </c>
      <c r="W372" s="68"/>
      <c r="X372" s="23">
        <v>45483</v>
      </c>
      <c r="Y372" s="7" t="s">
        <v>58</v>
      </c>
      <c r="Z372" s="120" t="str">
        <f>IF(Tableau3384[[#This Row],[Méthode du paiement]]="Mastercard","OUI","")</f>
        <v/>
      </c>
      <c r="AA372" s="180" t="s">
        <v>14</v>
      </c>
      <c r="AB372" s="6" t="s">
        <v>681</v>
      </c>
    </row>
    <row r="373" spans="1:28" hidden="1" x14ac:dyDescent="0.25">
      <c r="A373" s="182" t="s">
        <v>702</v>
      </c>
      <c r="B373" s="21">
        <v>45447</v>
      </c>
      <c r="C373" s="21">
        <v>45447</v>
      </c>
      <c r="D373" s="186" t="s">
        <v>117</v>
      </c>
      <c r="E373" s="11">
        <f>Tableau3384[[#This Row],[Montant
EUR]]*Tableau3384[[#This Row],[Taux 
de change]]</f>
        <v>0</v>
      </c>
      <c r="F373" s="195">
        <v>0</v>
      </c>
      <c r="G373" s="80"/>
      <c r="H373" s="136">
        <f>Tableau3384[[#This Row],[Montant
CHF]]+Tableau3384[[#This Row],[Abzug/Spesen
CHF]]</f>
        <v>0</v>
      </c>
      <c r="I373" s="39">
        <v>1</v>
      </c>
      <c r="J373" s="40">
        <v>0</v>
      </c>
      <c r="K373" s="189"/>
      <c r="L373" s="298"/>
      <c r="M373" s="81"/>
      <c r="N373" s="21">
        <v>45447</v>
      </c>
      <c r="O373" s="282" t="str">
        <f>IF(Tableau3384[[#This Row],[Date du paiement]]&gt;0,"",Tableau3384[[#This Row],[Montant
CHF]])</f>
        <v/>
      </c>
      <c r="P373" s="276" t="str">
        <f>IF(Tableau3384[[#This Row],[Date du paiement]]="",$B$4-Tableau3384[[#This Row],[Écheance]],"")</f>
        <v/>
      </c>
      <c r="Q373" s="168" t="str">
        <f>IF(Tableau3384[[#This Row],[Date du paiement]]="",IF(Tableau3384[[#This Row],[jours jusqu''à l''écheance]]&gt;0,Tableau3384[[#This Row],[Montant
CHF]],""),"")</f>
        <v/>
      </c>
      <c r="R373" s="298" t="str">
        <f>IF(Tableau3384[[#This Row],[Date du paiement]]="",IF(Tableau3384[[#This Row],[jours jusqu''à l''écheance]]-($B$4-$B$11-1)&gt;0,Tableau3384[[#This Row],[Montant
CHF]],""),"")</f>
        <v/>
      </c>
      <c r="S373" s="142"/>
      <c r="T373" s="95" t="str">
        <f>IF(Tableau3384[[#This Row],[Paiements prevus]]="oui",Tableau3384[[#This Row],[Montant prevu à payer CH]],"")</f>
        <v/>
      </c>
      <c r="U373" s="130"/>
      <c r="V373" s="73"/>
      <c r="W373" s="68"/>
      <c r="X373" s="23">
        <v>45447</v>
      </c>
      <c r="Y373" s="7" t="s">
        <v>502</v>
      </c>
      <c r="Z373" s="120" t="str">
        <f>IF(Tableau3384[[#This Row],[Méthode du paiement]]="Mastercard","OUI","")</f>
        <v/>
      </c>
      <c r="AA373" s="180" t="s">
        <v>14</v>
      </c>
      <c r="AB373" s="6" t="s">
        <v>703</v>
      </c>
    </row>
    <row r="374" spans="1:28" hidden="1" x14ac:dyDescent="0.25">
      <c r="A374" s="182" t="s">
        <v>715</v>
      </c>
      <c r="B374" s="21">
        <v>45447</v>
      </c>
      <c r="C374" s="21">
        <v>45477</v>
      </c>
      <c r="D374" s="186" t="s">
        <v>164</v>
      </c>
      <c r="E374" s="11">
        <v>988.2</v>
      </c>
      <c r="F374" s="195">
        <v>0</v>
      </c>
      <c r="G374" s="80"/>
      <c r="H374" s="136">
        <f>Tableau3384[[#This Row],[Montant
CHF]]+Tableau3384[[#This Row],[Abzug/Spesen
CHF]]</f>
        <v>988.2</v>
      </c>
      <c r="I374" s="39"/>
      <c r="J374" s="40"/>
      <c r="K374" s="189"/>
      <c r="L374" s="298"/>
      <c r="M374" s="81" t="s">
        <v>1465</v>
      </c>
      <c r="N374" s="21">
        <v>45477</v>
      </c>
      <c r="O374" s="282" t="str">
        <f>IF(Tableau3384[[#This Row],[Date du paiement]]&gt;0,"",Tableau3384[[#This Row],[Montant
CHF]])</f>
        <v/>
      </c>
      <c r="P374" s="276" t="str">
        <f>IF(Tableau3384[[#This Row],[Date du paiement]]="",$B$4-Tableau3384[[#This Row],[Écheance]],"")</f>
        <v/>
      </c>
      <c r="Q374" s="168" t="str">
        <f>IF(Tableau3384[[#This Row],[Date du paiement]]="",IF(Tableau3384[[#This Row],[jours jusqu''à l''écheance]]&gt;0,Tableau3384[[#This Row],[Montant
CHF]],""),"")</f>
        <v/>
      </c>
      <c r="R374" s="298" t="str">
        <f>IF(Tableau3384[[#This Row],[Date du paiement]]="",IF(Tableau3384[[#This Row],[jours jusqu''à l''écheance]]-($B$4-$B$11-1)&gt;0,Tableau3384[[#This Row],[Montant
CHF]],""),"")</f>
        <v/>
      </c>
      <c r="S374" s="142"/>
      <c r="T374" s="95" t="str">
        <f>IF(Tableau3384[[#This Row],[Paiements prevus]]="oui",Tableau3384[[#This Row],[Montant prevu à payer CH]],"")</f>
        <v/>
      </c>
      <c r="U374" s="177"/>
      <c r="V374" s="73" t="s">
        <v>735</v>
      </c>
      <c r="W374" s="68"/>
      <c r="X374" s="23">
        <v>45483</v>
      </c>
      <c r="Y374" s="7" t="s">
        <v>58</v>
      </c>
      <c r="Z374" s="120" t="str">
        <f>IF(Tableau3384[[#This Row],[Méthode du paiement]]="Mastercard","OUI","")</f>
        <v/>
      </c>
      <c r="AA374" s="180" t="s">
        <v>4</v>
      </c>
      <c r="AB374" s="6" t="s">
        <v>717</v>
      </c>
    </row>
    <row r="375" spans="1:28" hidden="1" x14ac:dyDescent="0.25">
      <c r="A375" s="156" t="s">
        <v>129</v>
      </c>
      <c r="B375" s="21">
        <v>45448</v>
      </c>
      <c r="C375" s="21">
        <v>45448</v>
      </c>
      <c r="D375" s="157" t="s">
        <v>87</v>
      </c>
      <c r="E375" s="11">
        <v>2348.8000000000002</v>
      </c>
      <c r="F375" s="165">
        <v>0</v>
      </c>
      <c r="G375" s="80"/>
      <c r="H375" s="136">
        <f>Tableau3384[[#This Row],[Montant
CHF]]+Tableau3384[[#This Row],[Abzug/Spesen
CHF]]</f>
        <v>2348.8000000000002</v>
      </c>
      <c r="I375" s="39"/>
      <c r="J375" s="40"/>
      <c r="K375" s="189"/>
      <c r="L375" s="298"/>
      <c r="M375" s="81"/>
      <c r="N375" s="21">
        <v>45477</v>
      </c>
      <c r="O375" s="282" t="str">
        <f>IF(Tableau3384[[#This Row],[Date du paiement]]&gt;0,"",Tableau3384[[#This Row],[Montant
CHF]])</f>
        <v/>
      </c>
      <c r="P375" s="276" t="str">
        <f>IF(Tableau3384[[#This Row],[Date du paiement]]="",$B$4-Tableau3384[[#This Row],[Écheance]],"")</f>
        <v/>
      </c>
      <c r="Q375" s="168" t="str">
        <f>IF(Tableau3384[[#This Row],[Date du paiement]]="",IF(Tableau3384[[#This Row],[jours jusqu''à l''écheance]]&gt;0,Tableau3384[[#This Row],[Montant
CHF]],""),"")</f>
        <v/>
      </c>
      <c r="R375" s="298" t="str">
        <f>IF(Tableau3384[[#This Row],[Date du paiement]]="",IF(Tableau3384[[#This Row],[jours jusqu''à l''écheance]]-($B$4-$B$11-1)&gt;0,Tableau3384[[#This Row],[Montant
CHF]],""),"")</f>
        <v/>
      </c>
      <c r="S375" s="142"/>
      <c r="T375" s="95" t="str">
        <f>IF(Tableau3384[[#This Row],[Paiements prevus]]="oui",Tableau3384[[#This Row],[Montant prevu à payer CH]],"")</f>
        <v/>
      </c>
      <c r="U375" s="130"/>
      <c r="V375" s="73" t="s">
        <v>739</v>
      </c>
      <c r="W375" s="68"/>
      <c r="X375" s="23">
        <v>45483</v>
      </c>
      <c r="Y375" s="7" t="s">
        <v>58</v>
      </c>
      <c r="Z375" s="120" t="str">
        <f>IF(Tableau3384[[#This Row],[Méthode du paiement]]="Mastercard","OUI","")</f>
        <v/>
      </c>
      <c r="AA375" s="158" t="s">
        <v>4</v>
      </c>
      <c r="AB375" s="6" t="s">
        <v>557</v>
      </c>
    </row>
    <row r="376" spans="1:28" hidden="1" x14ac:dyDescent="0.25">
      <c r="A376" s="182" t="s">
        <v>1324</v>
      </c>
      <c r="B376" s="21">
        <v>45448</v>
      </c>
      <c r="C376" s="21">
        <v>45448</v>
      </c>
      <c r="D376" s="22" t="s">
        <v>104</v>
      </c>
      <c r="E376" s="11">
        <v>64.900000000000006</v>
      </c>
      <c r="F376" s="88">
        <v>8.1</v>
      </c>
      <c r="G376" s="80"/>
      <c r="H376" s="136">
        <f>Tableau3384[[#This Row],[Montant
CHF]]+Tableau3384[[#This Row],[Abzug/Spesen
CHF]]</f>
        <v>64.900000000000006</v>
      </c>
      <c r="I376" s="39"/>
      <c r="J376" s="40"/>
      <c r="K376" s="189"/>
      <c r="L376" s="298"/>
      <c r="M376" s="81"/>
      <c r="N376" s="21">
        <v>45448</v>
      </c>
      <c r="O376" s="282" t="str">
        <f>IF(Tableau3384[[#This Row],[Date du paiement]]&gt;0,"",Tableau3384[[#This Row],[Montant
CHF]])</f>
        <v/>
      </c>
      <c r="P376" s="287" t="str">
        <f>IF(Tableau3384[[#This Row],[Date du paiement]]="",$B$4-Tableau3384[[#This Row],[Écheance]],"")</f>
        <v/>
      </c>
      <c r="Q376" s="168" t="str">
        <f>IF(Tableau3384[[#This Row],[Date du paiement]]="",IF(Tableau3384[[#This Row],[jours jusqu''à l''écheance]]&gt;0,Tableau3384[[#This Row],[Montant
CHF]],""),"")</f>
        <v/>
      </c>
      <c r="R376" s="298" t="str">
        <f>IF(Tableau3384[[#This Row],[Date du paiement]]="",IF(Tableau3384[[#This Row],[jours jusqu''à l''écheance]]&gt;0,Tableau3384[[#This Row],[Montant
CHF]],""),"")</f>
        <v/>
      </c>
      <c r="S376" s="142"/>
      <c r="T376" s="95" t="str">
        <f>IF(Tableau3384[[#This Row],[Paiements prevus]]="oui",Tableau3384[[#This Row],[Montant prevu à payer CH]],"")</f>
        <v/>
      </c>
      <c r="U376" s="130"/>
      <c r="V376" s="73"/>
      <c r="W376" s="68"/>
      <c r="X376" s="23">
        <v>45448</v>
      </c>
      <c r="Y376" s="7" t="s">
        <v>105</v>
      </c>
      <c r="Z376" s="120" t="str">
        <f>IF(Tableau3384[[#This Row],[Méthode du paiement]]="Mastercard","OUI","")</f>
        <v>OUI</v>
      </c>
      <c r="AA376" s="180" t="s">
        <v>14</v>
      </c>
      <c r="AB376" s="6" t="s">
        <v>1325</v>
      </c>
    </row>
    <row r="377" spans="1:28" hidden="1" x14ac:dyDescent="0.25">
      <c r="A377" s="159" t="s">
        <v>636</v>
      </c>
      <c r="B377" s="21">
        <v>45448</v>
      </c>
      <c r="C377" s="21">
        <v>45449</v>
      </c>
      <c r="D377" s="186" t="s">
        <v>186</v>
      </c>
      <c r="E377" s="11">
        <v>205.65</v>
      </c>
      <c r="F377" s="195">
        <v>0</v>
      </c>
      <c r="G377" s="80"/>
      <c r="H377" s="136">
        <f>Tableau3384[[#This Row],[Montant
CHF]]+Tableau3384[[#This Row],[Abzug/Spesen
CHF]]</f>
        <v>205.65</v>
      </c>
      <c r="I377" s="39"/>
      <c r="J377" s="40"/>
      <c r="K377" s="189"/>
      <c r="L377" s="298"/>
      <c r="M377" s="81" t="s">
        <v>708</v>
      </c>
      <c r="N377" s="21">
        <v>45478</v>
      </c>
      <c r="O377" s="282" t="str">
        <f>IF(Tableau3384[[#This Row],[Date du paiement]]&gt;0,"",Tableau3384[[#This Row],[Montant
CHF]])</f>
        <v/>
      </c>
      <c r="P377" s="276" t="str">
        <f>IF(Tableau3384[[#This Row],[Date du paiement]]="",$B$4-Tableau3384[[#This Row],[Écheance]],"")</f>
        <v/>
      </c>
      <c r="Q377" s="168" t="str">
        <f>IF(Tableau3384[[#This Row],[Date du paiement]]="",IF(Tableau3384[[#This Row],[jours jusqu''à l''écheance]]&gt;0,Tableau3384[[#This Row],[Montant
CHF]],""),"")</f>
        <v/>
      </c>
      <c r="R377" s="298" t="str">
        <f>IF(Tableau3384[[#This Row],[Date du paiement]]="",IF(Tableau3384[[#This Row],[jours jusqu''à l''écheance]]-($B$4-$B$11-1)&gt;0,Tableau3384[[#This Row],[Montant
CHF]],""),"")</f>
        <v/>
      </c>
      <c r="S377" s="142"/>
      <c r="T377" s="95" t="str">
        <f>IF(Tableau3384[[#This Row],[Paiements prevus]]="oui",Tableau3384[[#This Row],[Montant prevu à payer CH]],"")</f>
        <v/>
      </c>
      <c r="U377" s="130"/>
      <c r="V377" s="73" t="s">
        <v>735</v>
      </c>
      <c r="W377" s="68"/>
      <c r="X377" s="23">
        <v>45483</v>
      </c>
      <c r="Y377" s="7" t="s">
        <v>58</v>
      </c>
      <c r="Z377" s="120" t="str">
        <f>IF(Tableau3384[[#This Row],[Méthode du paiement]]="Mastercard","OUI","")</f>
        <v/>
      </c>
      <c r="AA377" s="160" t="s">
        <v>604</v>
      </c>
      <c r="AB377" s="6" t="s">
        <v>720</v>
      </c>
    </row>
    <row r="378" spans="1:28" hidden="1" x14ac:dyDescent="0.25">
      <c r="A378" s="182" t="s">
        <v>718</v>
      </c>
      <c r="B378" s="21">
        <v>45448</v>
      </c>
      <c r="C378" s="21">
        <v>45450</v>
      </c>
      <c r="D378" s="186" t="s">
        <v>42</v>
      </c>
      <c r="E378" s="183">
        <v>36</v>
      </c>
      <c r="F378" s="195">
        <v>8.1</v>
      </c>
      <c r="G378" s="80"/>
      <c r="H378" s="136">
        <f>Tableau3384[[#This Row],[Montant
CHF]]+Tableau3384[[#This Row],[Abzug/Spesen
CHF]]</f>
        <v>36</v>
      </c>
      <c r="I378" s="39"/>
      <c r="J378" s="40"/>
      <c r="K378" s="189"/>
      <c r="L378" s="298"/>
      <c r="M378" s="81"/>
      <c r="N378" s="21">
        <v>45478</v>
      </c>
      <c r="O378" s="282" t="str">
        <f>IF(Tableau3384[[#This Row],[Date du paiement]]&gt;0,"",Tableau3384[[#This Row],[Montant
CHF]])</f>
        <v/>
      </c>
      <c r="P378" s="276" t="str">
        <f>IF(Tableau3384[[#This Row],[Date du paiement]]="",$B$4-Tableau3384[[#This Row],[Écheance]],"")</f>
        <v/>
      </c>
      <c r="Q378" s="168" t="str">
        <f>IF(Tableau3384[[#This Row],[Date du paiement]]="",IF(Tableau3384[[#This Row],[jours jusqu''à l''écheance]]&gt;0,Tableau3384[[#This Row],[Montant
CHF]],""),"")</f>
        <v/>
      </c>
      <c r="R378" s="298" t="str">
        <f>IF(Tableau3384[[#This Row],[Date du paiement]]="",IF(Tableau3384[[#This Row],[jours jusqu''à l''écheance]]-($B$4-$B$11-1)&gt;0,Tableau3384[[#This Row],[Montant
CHF]],""),"")</f>
        <v/>
      </c>
      <c r="S378" s="142"/>
      <c r="T378" s="95" t="str">
        <f>IF(Tableau3384[[#This Row],[Paiements prevus]]="oui",Tableau3384[[#This Row],[Montant prevu à payer CH]],"")</f>
        <v/>
      </c>
      <c r="U378" s="177"/>
      <c r="V378" s="73" t="s">
        <v>735</v>
      </c>
      <c r="W378" s="68"/>
      <c r="X378" s="23">
        <v>45483</v>
      </c>
      <c r="Y378" s="7" t="s">
        <v>58</v>
      </c>
      <c r="Z378" s="120" t="str">
        <f>IF(Tableau3384[[#This Row],[Méthode du paiement]]="Mastercard","OUI","")</f>
        <v/>
      </c>
      <c r="AA378" s="180" t="s">
        <v>43</v>
      </c>
      <c r="AB378" s="6" t="s">
        <v>719</v>
      </c>
    </row>
    <row r="379" spans="1:28" hidden="1" x14ac:dyDescent="0.25">
      <c r="A379" s="9" t="s">
        <v>784</v>
      </c>
      <c r="B379" s="21">
        <v>45448</v>
      </c>
      <c r="C379" s="21">
        <v>45460</v>
      </c>
      <c r="D379" s="22" t="s">
        <v>785</v>
      </c>
      <c r="E379" s="11">
        <v>1075.21</v>
      </c>
      <c r="F379" s="88">
        <v>8.1</v>
      </c>
      <c r="G379" s="80"/>
      <c r="H379" s="136">
        <f>Tableau3384[[#This Row],[Montant
CHF]]+Tableau3384[[#This Row],[Abzug/Spesen
CHF]]</f>
        <v>1075.21</v>
      </c>
      <c r="I379" s="39"/>
      <c r="J379" s="40"/>
      <c r="K379" s="189"/>
      <c r="L379" s="298"/>
      <c r="M379" s="81"/>
      <c r="N379" s="21">
        <v>45478</v>
      </c>
      <c r="O379" s="282" t="str">
        <f>IF(Tableau3384[[#This Row],[Date du paiement]]&gt;0,"",Tableau3384[[#This Row],[Montant
CHF]])</f>
        <v/>
      </c>
      <c r="P379" s="287" t="str">
        <f>IF(Tableau3384[[#This Row],[Date du paiement]]="",$B$4-Tableau3384[[#This Row],[Écheance]],"")</f>
        <v/>
      </c>
      <c r="Q379" s="168" t="str">
        <f>IF(Tableau3384[[#This Row],[Date du paiement]]="",IF(Tableau3384[[#This Row],[jours jusqu''à l''écheance]]&gt;0,Tableau3384[[#This Row],[Montant
CHF]],""),"")</f>
        <v/>
      </c>
      <c r="R379" s="298" t="str">
        <f>IF(Tableau3384[[#This Row],[Date du paiement]]="",IF(Tableau3384[[#This Row],[jours jusqu''à l''écheance]]-($B$4-$B$11-1)&gt;0,Tableau3384[[#This Row],[Montant
CHF]],""),"")</f>
        <v/>
      </c>
      <c r="S379" s="142"/>
      <c r="T379" s="95" t="str">
        <f>IF(Tableau3384[[#This Row],[Paiements prevus]]="oui",Tableau3384[[#This Row],[Montant prevu à payer CH]],"")</f>
        <v/>
      </c>
      <c r="U379" s="130"/>
      <c r="V379" s="73" t="s">
        <v>738</v>
      </c>
      <c r="W379" s="68"/>
      <c r="X379" s="187">
        <v>45483</v>
      </c>
      <c r="Y379" s="181" t="s">
        <v>58</v>
      </c>
      <c r="Z379" s="120" t="str">
        <f>IF(Tableau3384[[#This Row],[Méthode du paiement]]="Mastercard","OUI","")</f>
        <v/>
      </c>
      <c r="AA379" s="6" t="s">
        <v>14</v>
      </c>
      <c r="AB379" s="6" t="s">
        <v>786</v>
      </c>
    </row>
    <row r="380" spans="1:28" hidden="1" x14ac:dyDescent="0.25">
      <c r="A380" s="182" t="s">
        <v>733</v>
      </c>
      <c r="B380" s="21">
        <v>45449</v>
      </c>
      <c r="C380" s="21">
        <v>45449</v>
      </c>
      <c r="D380" s="186" t="s">
        <v>660</v>
      </c>
      <c r="E380" s="11">
        <v>1790</v>
      </c>
      <c r="F380" s="195">
        <v>8.1</v>
      </c>
      <c r="G380" s="80"/>
      <c r="H380" s="136">
        <f>Tableau3384[[#This Row],[Montant
CHF]]+Tableau3384[[#This Row],[Abzug/Spesen
CHF]]</f>
        <v>1790</v>
      </c>
      <c r="I380" s="39"/>
      <c r="J380" s="40"/>
      <c r="K380" s="189"/>
      <c r="L380" s="298"/>
      <c r="M380" s="81"/>
      <c r="N380" s="21">
        <v>45449</v>
      </c>
      <c r="O380" s="282" t="str">
        <f>IF(Tableau3384[[#This Row],[Date du paiement]]&gt;0,"",Tableau3384[[#This Row],[Montant
CHF]])</f>
        <v/>
      </c>
      <c r="P380" s="287" t="str">
        <f>IF(Tableau3384[[#This Row],[Date du paiement]]="",$B$4-Tableau3384[[#This Row],[Écheance]],"")</f>
        <v/>
      </c>
      <c r="Q380" s="168" t="str">
        <f>IF(Tableau3384[[#This Row],[Date du paiement]]="",IF(Tableau3384[[#This Row],[jours jusqu''à l''écheance]]&gt;0,Tableau3384[[#This Row],[Montant
CHF]],""),"")</f>
        <v/>
      </c>
      <c r="R380" s="298" t="str">
        <f>IF(Tableau3384[[#This Row],[Date du paiement]]="",IF(Tableau3384[[#This Row],[jours jusqu''à l''écheance]]+(B189-B195)&gt;0,Tableau3384[[#This Row],[Montant
CHF]],""),"")</f>
        <v/>
      </c>
      <c r="S380" s="142"/>
      <c r="T380" s="95" t="str">
        <f>IF(Tableau3384[[#This Row],[Paiements prevus]]="oui",Tableau3384[[#This Row],[Montant prevu à payer CH]],"")</f>
        <v/>
      </c>
      <c r="U380" s="177"/>
      <c r="V380" s="73"/>
      <c r="W380" s="68"/>
      <c r="X380" s="23">
        <v>45449</v>
      </c>
      <c r="Y380" s="7" t="s">
        <v>105</v>
      </c>
      <c r="Z380" s="120" t="str">
        <f>IF(Tableau3384[[#This Row],[Méthode du paiement]]="Mastercard","OUI","")</f>
        <v>OUI</v>
      </c>
      <c r="AA380" s="180" t="s">
        <v>14</v>
      </c>
      <c r="AB380" s="6" t="s">
        <v>734</v>
      </c>
    </row>
    <row r="381" spans="1:28" hidden="1" x14ac:dyDescent="0.25">
      <c r="A381" s="182" t="s">
        <v>741</v>
      </c>
      <c r="B381" s="21">
        <v>45449</v>
      </c>
      <c r="C381" s="21">
        <v>45453</v>
      </c>
      <c r="D381" s="186" t="s">
        <v>13</v>
      </c>
      <c r="E381" s="183">
        <f>Tableau3384[[#This Row],[Montant
EUR]]*Tableau3384[[#This Row],[Taux 
de change]]</f>
        <v>31048.035</v>
      </c>
      <c r="F381" s="195">
        <v>0</v>
      </c>
      <c r="G381" s="80"/>
      <c r="H381" s="136">
        <f>Tableau3384[[#This Row],[Montant
CHF]]+Tableau3384[[#This Row],[Abzug/Spesen
CHF]]</f>
        <v>31048.035</v>
      </c>
      <c r="I381" s="39">
        <v>0.93899999999999995</v>
      </c>
      <c r="J381" s="40">
        <v>33065</v>
      </c>
      <c r="K381" s="189"/>
      <c r="L381" s="298"/>
      <c r="M381" s="194"/>
      <c r="N381" s="21">
        <v>45510</v>
      </c>
      <c r="O381" s="282" t="str">
        <f>IF(Tableau3384[[#This Row],[Date du paiement]]&gt;0,"",Tableau3384[[#This Row],[Montant
CHF]])</f>
        <v/>
      </c>
      <c r="P381" s="287" t="str">
        <f>IF(Tableau3384[[#This Row],[Date du paiement]]="",$B$4-Tableau3384[[#This Row],[Écheance]],"")</f>
        <v/>
      </c>
      <c r="Q381" s="168" t="str">
        <f>IF(Tableau3384[[#This Row],[Date du paiement]]="",IF(Tableau3384[[#This Row],[jours jusqu''à l''écheance]]&gt;0,Tableau3384[[#This Row],[Montant
CHF]],""),"")</f>
        <v/>
      </c>
      <c r="R381" s="298" t="str">
        <f>IF(Tableau3384[[#This Row],[Date du paiement]]="",IF(Tableau3384[[#This Row],[jours jusqu''à l''écheance]]-($B$4-$B$11-1)&gt;0,Tableau3384[[#This Row],[Montant
CHF]],""),"")</f>
        <v/>
      </c>
      <c r="S381" s="142"/>
      <c r="T381" s="95" t="str">
        <f>IF(Tableau3384[[#This Row],[Paiements prevus]]="oui",Tableau3384[[#This Row],[Montant prevu à payer CH]],"")</f>
        <v/>
      </c>
      <c r="U381" s="130"/>
      <c r="V381" s="73" t="s">
        <v>737</v>
      </c>
      <c r="W381" s="190"/>
      <c r="X381" s="23">
        <v>45510</v>
      </c>
      <c r="Y381" s="7" t="s">
        <v>58</v>
      </c>
      <c r="Z381" s="120" t="str">
        <f>IF(Tableau3384[[#This Row],[Méthode du paiement]]="Mastercard","OUI","")</f>
        <v/>
      </c>
      <c r="AA381" s="180" t="s">
        <v>14</v>
      </c>
      <c r="AB381" s="6" t="s">
        <v>742</v>
      </c>
    </row>
    <row r="382" spans="1:28" hidden="1" x14ac:dyDescent="0.25">
      <c r="A382" s="149" t="s">
        <v>748</v>
      </c>
      <c r="B382" s="21">
        <v>45449</v>
      </c>
      <c r="C382" s="21">
        <v>45455</v>
      </c>
      <c r="D382" s="154" t="s">
        <v>749</v>
      </c>
      <c r="E382" s="11">
        <v>1096</v>
      </c>
      <c r="F382" s="164">
        <v>8.1</v>
      </c>
      <c r="G382" s="80"/>
      <c r="H382" s="136">
        <f>Tableau3384[[#This Row],[Montant
CHF]]+Tableau3384[[#This Row],[Abzug/Spesen
CHF]]</f>
        <v>1096</v>
      </c>
      <c r="I382" s="39"/>
      <c r="J382" s="40"/>
      <c r="K382" s="189"/>
      <c r="L382" s="298"/>
      <c r="M382" s="81"/>
      <c r="N382" s="21">
        <v>45479</v>
      </c>
      <c r="O382" s="282" t="str">
        <f>IF(Tableau3384[[#This Row],[Date du paiement]]&gt;0,"",Tableau3384[[#This Row],[Montant
CHF]])</f>
        <v/>
      </c>
      <c r="P382" s="287" t="str">
        <f>IF(Tableau3384[[#This Row],[Date du paiement]]="",$B$4-Tableau3384[[#This Row],[Écheance]],"")</f>
        <v/>
      </c>
      <c r="Q382" s="168" t="str">
        <f>IF(Tableau3384[[#This Row],[Date du paiement]]="",IF(Tableau3384[[#This Row],[jours jusqu''à l''écheance]]&gt;0,Tableau3384[[#This Row],[Montant
CHF]],""),"")</f>
        <v/>
      </c>
      <c r="R382" s="298" t="str">
        <f>IF(Tableau3384[[#This Row],[Date du paiement]]="",IF(Tableau3384[[#This Row],[jours jusqu''à l''écheance]]-($B$4-$B$11-1)&gt;0,Tableau3384[[#This Row],[Montant
CHF]],""),"")</f>
        <v/>
      </c>
      <c r="S382" s="142"/>
      <c r="T382" s="95" t="str">
        <f>IF(Tableau3384[[#This Row],[Paiements prevus]]="oui",Tableau3384[[#This Row],[Montant prevu à payer CH]],"")</f>
        <v/>
      </c>
      <c r="U382" s="177"/>
      <c r="V382" s="73" t="s">
        <v>738</v>
      </c>
      <c r="W382" s="68"/>
      <c r="X382" s="23">
        <v>45483</v>
      </c>
      <c r="Y382" s="7" t="s">
        <v>58</v>
      </c>
      <c r="Z382" s="120" t="str">
        <f>IF(Tableau3384[[#This Row],[Méthode du paiement]]="Mastercard","OUI","")</f>
        <v/>
      </c>
      <c r="AA382" s="148" t="s">
        <v>14</v>
      </c>
      <c r="AB382" s="6" t="s">
        <v>750</v>
      </c>
    </row>
    <row r="383" spans="1:28" hidden="1" x14ac:dyDescent="0.25">
      <c r="A383" s="182" t="s">
        <v>758</v>
      </c>
      <c r="B383" s="21">
        <v>45449</v>
      </c>
      <c r="C383" s="21">
        <v>45456</v>
      </c>
      <c r="D383" s="154" t="s">
        <v>759</v>
      </c>
      <c r="E383" s="11">
        <v>230.9</v>
      </c>
      <c r="F383" s="164">
        <v>8.1</v>
      </c>
      <c r="G383" s="80"/>
      <c r="H383" s="136">
        <f>Tableau3384[[#This Row],[Montant
CHF]]+Tableau3384[[#This Row],[Abzug/Spesen
CHF]]</f>
        <v>230.9</v>
      </c>
      <c r="I383" s="39"/>
      <c r="J383" s="40"/>
      <c r="K383" s="189"/>
      <c r="L383" s="298"/>
      <c r="M383" s="81"/>
      <c r="N383" s="21">
        <v>45479</v>
      </c>
      <c r="O383" s="282" t="str">
        <f>IF(Tableau3384[[#This Row],[Date du paiement]]&gt;0,"",Tableau3384[[#This Row],[Montant
CHF]])</f>
        <v/>
      </c>
      <c r="P383" s="287" t="str">
        <f>IF(Tableau3384[[#This Row],[Date du paiement]]="",$B$4-Tableau3384[[#This Row],[Écheance]],"")</f>
        <v/>
      </c>
      <c r="Q383" s="168" t="str">
        <f>IF(Tableau3384[[#This Row],[Date du paiement]]="",IF(Tableau3384[[#This Row],[jours jusqu''à l''écheance]]&gt;0,Tableau3384[[#This Row],[Montant
CHF]],""),"")</f>
        <v/>
      </c>
      <c r="R383" s="298" t="str">
        <f>IF(Tableau3384[[#This Row],[Date du paiement]]="",IF(Tableau3384[[#This Row],[jours jusqu''à l''écheance]]-($B$4-$B$11-1)&gt;0,Tableau3384[[#This Row],[Montant
CHF]],""),"")</f>
        <v/>
      </c>
      <c r="S383" s="142"/>
      <c r="T383" s="95" t="str">
        <f>IF(Tableau3384[[#This Row],[Paiements prevus]]="oui",Tableau3384[[#This Row],[Montant prevu à payer CH]],"")</f>
        <v/>
      </c>
      <c r="U383" s="177"/>
      <c r="V383" s="73" t="s">
        <v>735</v>
      </c>
      <c r="W383" s="68"/>
      <c r="X383" s="23">
        <v>45483</v>
      </c>
      <c r="Y383" s="7" t="s">
        <v>58</v>
      </c>
      <c r="Z383" s="120" t="str">
        <f>IF(Tableau3384[[#This Row],[Méthode du paiement]]="Mastercard","OUI","")</f>
        <v/>
      </c>
      <c r="AA383" s="180" t="s">
        <v>1431</v>
      </c>
      <c r="AB383" s="6" t="s">
        <v>760</v>
      </c>
    </row>
    <row r="384" spans="1:28" hidden="1" x14ac:dyDescent="0.25">
      <c r="A384" s="182" t="s">
        <v>729</v>
      </c>
      <c r="B384" s="21">
        <v>45450</v>
      </c>
      <c r="C384" s="21">
        <v>45453</v>
      </c>
      <c r="D384" s="22" t="s">
        <v>728</v>
      </c>
      <c r="E384" s="183">
        <v>3502.45</v>
      </c>
      <c r="F384" s="88">
        <v>8.1</v>
      </c>
      <c r="G384" s="80"/>
      <c r="H384" s="136">
        <f>Tableau3384[[#This Row],[Montant
CHF]]+Tableau3384[[#This Row],[Abzug/Spesen
CHF]]</f>
        <v>3502.45</v>
      </c>
      <c r="I384" s="39"/>
      <c r="J384" s="40"/>
      <c r="K384" s="189"/>
      <c r="L384" s="298"/>
      <c r="M384" s="81"/>
      <c r="N384" s="21">
        <v>45470</v>
      </c>
      <c r="O384" s="282" t="str">
        <f>IF(Tableau3384[[#This Row],[Date du paiement]]&gt;0,"",Tableau3384[[#This Row],[Montant
CHF]])</f>
        <v/>
      </c>
      <c r="P384" s="287" t="str">
        <f>IF(Tableau3384[[#This Row],[Date du paiement]]="",$B$4-Tableau3384[[#This Row],[Écheance]],"")</f>
        <v/>
      </c>
      <c r="Q384" s="168" t="str">
        <f>IF(Tableau3384[[#This Row],[Date du paiement]]="",IF(Tableau3384[[#This Row],[jours jusqu''à l''écheance]]&gt;0,Tableau3384[[#This Row],[Montant
CHF]],""),"")</f>
        <v/>
      </c>
      <c r="R384" s="298" t="str">
        <f>IF(Tableau3384[[#This Row],[Date du paiement]]="",IF(Tableau3384[[#This Row],[jours jusqu''à l''écheance]]-($B$4-$B$11-1)&gt;0,Tableau3384[[#This Row],[Montant
CHF]],""),"")</f>
        <v/>
      </c>
      <c r="S384" s="142"/>
      <c r="T384" s="95" t="str">
        <f>IF(Tableau3384[[#This Row],[Paiements prevus]]="oui",Tableau3384[[#This Row],[Montant prevu à payer CH]],"")</f>
        <v/>
      </c>
      <c r="U384" s="177"/>
      <c r="V384" s="73" t="s">
        <v>735</v>
      </c>
      <c r="W384" s="68"/>
      <c r="X384" s="23">
        <v>45483</v>
      </c>
      <c r="Y384" s="7" t="s">
        <v>58</v>
      </c>
      <c r="Z384" s="120" t="str">
        <f>IF(Tableau3384[[#This Row],[Méthode du paiement]]="Mastercard","OUI","")</f>
        <v/>
      </c>
      <c r="AA384" s="180" t="s">
        <v>43</v>
      </c>
      <c r="AB384" s="6" t="s">
        <v>730</v>
      </c>
    </row>
    <row r="385" spans="1:28" hidden="1" x14ac:dyDescent="0.25">
      <c r="A385" s="149" t="s">
        <v>726</v>
      </c>
      <c r="B385" s="21">
        <v>45453</v>
      </c>
      <c r="C385" s="21">
        <v>45453</v>
      </c>
      <c r="D385" s="186" t="s">
        <v>216</v>
      </c>
      <c r="E385" s="163">
        <v>519.1</v>
      </c>
      <c r="F385" s="88">
        <v>100</v>
      </c>
      <c r="G385" s="80"/>
      <c r="H385" s="136">
        <f>Tableau3384[[#This Row],[Montant
CHF]]+Tableau3384[[#This Row],[Abzug/Spesen
CHF]]</f>
        <v>519.1</v>
      </c>
      <c r="I385" s="39"/>
      <c r="J385" s="40"/>
      <c r="K385" s="189"/>
      <c r="L385" s="298"/>
      <c r="M385" s="81"/>
      <c r="N385" s="21">
        <v>45513</v>
      </c>
      <c r="O385" s="282" t="str">
        <f>IF(Tableau3384[[#This Row],[Date du paiement]]&gt;0,"",Tableau3384[[#This Row],[Montant
CHF]])</f>
        <v/>
      </c>
      <c r="P385" s="287" t="str">
        <f>IF(Tableau3384[[#This Row],[Date du paiement]]="",$B$4-Tableau3384[[#This Row],[Écheance]],"")</f>
        <v/>
      </c>
      <c r="Q385" s="168" t="str">
        <f>IF(Tableau3384[[#This Row],[Date du paiement]]="",IF(Tableau3384[[#This Row],[jours jusqu''à l''écheance]]&gt;0,Tableau3384[[#This Row],[Montant
CHF]],""),"")</f>
        <v/>
      </c>
      <c r="R385" s="298" t="str">
        <f>IF(Tableau3384[[#This Row],[Date du paiement]]="",IF(Tableau3384[[#This Row],[jours jusqu''à l''écheance]]-($B$4-$B$11-1)&gt;0,Tableau3384[[#This Row],[Montant
CHF]],""),"")</f>
        <v/>
      </c>
      <c r="S385" s="142"/>
      <c r="T385" s="95" t="str">
        <f>IF(Tableau3384[[#This Row],[Paiements prevus]]="oui",Tableau3384[[#This Row],[Montant prevu à payer CH]],"")</f>
        <v/>
      </c>
      <c r="U385" s="177"/>
      <c r="V385" s="73" t="s">
        <v>736</v>
      </c>
      <c r="W385" s="68"/>
      <c r="X385" s="23">
        <v>45513</v>
      </c>
      <c r="Y385" s="7" t="s">
        <v>58</v>
      </c>
      <c r="Z385" s="120" t="str">
        <f>IF(Tableau3384[[#This Row],[Méthode du paiement]]="Mastercard","OUI","")</f>
        <v/>
      </c>
      <c r="AA385" s="148" t="s">
        <v>604</v>
      </c>
      <c r="AB385" s="6" t="s">
        <v>727</v>
      </c>
    </row>
    <row r="386" spans="1:28" hidden="1" x14ac:dyDescent="0.25">
      <c r="A386" s="9" t="s">
        <v>744</v>
      </c>
      <c r="B386" s="21">
        <v>45453</v>
      </c>
      <c r="C386" s="21">
        <v>45453</v>
      </c>
      <c r="D386" s="22" t="s">
        <v>209</v>
      </c>
      <c r="E386" s="183">
        <v>112.65</v>
      </c>
      <c r="F386" s="88">
        <v>8.1</v>
      </c>
      <c r="G386" s="80"/>
      <c r="H386" s="136">
        <f>Tableau3384[[#This Row],[Montant
CHF]]+Tableau3384[[#This Row],[Abzug/Spesen
CHF]]</f>
        <v>112.65</v>
      </c>
      <c r="I386" s="39"/>
      <c r="J386" s="40"/>
      <c r="K386" s="189"/>
      <c r="L386" s="298"/>
      <c r="M386" s="81"/>
      <c r="N386" s="21">
        <v>45453</v>
      </c>
      <c r="O386" s="282" t="str">
        <f>IF(Tableau3384[[#This Row],[Date du paiement]]&gt;0,"",Tableau3384[[#This Row],[Montant
CHF]])</f>
        <v/>
      </c>
      <c r="P386" s="287" t="str">
        <f>IF(Tableau3384[[#This Row],[Date du paiement]]="",$B$4-Tableau3384[[#This Row],[Écheance]],"")</f>
        <v/>
      </c>
      <c r="Q386" s="168" t="str">
        <f>IF(Tableau3384[[#This Row],[Date du paiement]]="",IF(Tableau3384[[#This Row],[jours jusqu''à l''écheance]]&gt;0,Tableau3384[[#This Row],[Montant
CHF]],""),"")</f>
        <v/>
      </c>
      <c r="R386" s="298" t="str">
        <f>IF(Tableau3384[[#This Row],[Date du paiement]]="",IF(Tableau3384[[#This Row],[jours jusqu''à l''écheance]]+(B195-B201)&gt;0,Tableau3384[[#This Row],[Montant
CHF]],""),"")</f>
        <v/>
      </c>
      <c r="S386" s="142"/>
      <c r="T386" s="95" t="str">
        <f>IF(Tableau3384[[#This Row],[Paiements prevus]]="oui",Tableau3384[[#This Row],[Montant prevu à payer CH]],"")</f>
        <v/>
      </c>
      <c r="U386" s="130"/>
      <c r="V386" s="73"/>
      <c r="W386" s="68"/>
      <c r="X386" s="23">
        <v>45454</v>
      </c>
      <c r="Y386" s="7" t="s">
        <v>345</v>
      </c>
      <c r="Z386" s="120" t="str">
        <f>IF(Tableau3384[[#This Row],[Méthode du paiement]]="Mastercard","OUI","")</f>
        <v/>
      </c>
      <c r="AA386" s="6" t="s">
        <v>14</v>
      </c>
      <c r="AB386" s="6" t="s">
        <v>775</v>
      </c>
    </row>
    <row r="387" spans="1:28" hidden="1" x14ac:dyDescent="0.25">
      <c r="A387" s="182" t="s">
        <v>768</v>
      </c>
      <c r="B387" s="21">
        <v>45453</v>
      </c>
      <c r="C387" s="21">
        <v>45456</v>
      </c>
      <c r="D387" s="186" t="s">
        <v>13</v>
      </c>
      <c r="E387" s="11">
        <f>Tableau3384[[#This Row],[Montant
EUR]]*Tableau3384[[#This Row],[Taux 
de change]]</f>
        <v>27335.319997637398</v>
      </c>
      <c r="F387" s="195">
        <v>0</v>
      </c>
      <c r="G387" s="80"/>
      <c r="H387" s="136">
        <f>Tableau3384[[#This Row],[Montant
CHF]]+Tableau3384[[#This Row],[Abzug/Spesen
CHF]]</f>
        <v>27335.319997637398</v>
      </c>
      <c r="I387" s="39">
        <v>0.95980016999999995</v>
      </c>
      <c r="J387" s="40">
        <v>28480.22</v>
      </c>
      <c r="K387" s="189"/>
      <c r="L387" s="298"/>
      <c r="M387" s="81"/>
      <c r="N387" s="21">
        <v>45514</v>
      </c>
      <c r="O387" s="282" t="str">
        <f>IF(Tableau3384[[#This Row],[Date du paiement]]&gt;0,"",Tableau3384[[#This Row],[Montant
CHF]])</f>
        <v/>
      </c>
      <c r="P387" s="287" t="str">
        <f>IF(Tableau3384[[#This Row],[Date du paiement]]="",$B$4-Tableau3384[[#This Row],[Écheance]],"")</f>
        <v/>
      </c>
      <c r="Q387" s="168" t="str">
        <f>IF(Tableau3384[[#This Row],[Date du paiement]]="",IF(Tableau3384[[#This Row],[jours jusqu''à l''écheance]]&gt;0,Tableau3384[[#This Row],[Montant
CHF]],""),"")</f>
        <v/>
      </c>
      <c r="R387" s="298" t="str">
        <f>IF(Tableau3384[[#This Row],[Date du paiement]]="",IF(Tableau3384[[#This Row],[jours jusqu''à l''écheance]]-($B$4-$B$11-1)&gt;0,Tableau3384[[#This Row],[Montant
CHF]],""),"")</f>
        <v/>
      </c>
      <c r="S387" s="142"/>
      <c r="T387" s="95" t="str">
        <f>IF(Tableau3384[[#This Row],[Paiements prevus]]="oui",Tableau3384[[#This Row],[Montant prevu à payer CH]],"")</f>
        <v/>
      </c>
      <c r="U387" s="130"/>
      <c r="V387" s="73" t="s">
        <v>737</v>
      </c>
      <c r="W387" s="68"/>
      <c r="X387" s="23">
        <v>45520</v>
      </c>
      <c r="Y387" s="7" t="s">
        <v>58</v>
      </c>
      <c r="Z387" s="120" t="str">
        <f>IF(Tableau3384[[#This Row],[Méthode du paiement]]="Mastercard","OUI","")</f>
        <v/>
      </c>
      <c r="AA387" s="180" t="s">
        <v>14</v>
      </c>
      <c r="AB387" s="6" t="s">
        <v>769</v>
      </c>
    </row>
    <row r="388" spans="1:28" hidden="1" x14ac:dyDescent="0.25">
      <c r="A388" s="9" t="s">
        <v>779</v>
      </c>
      <c r="B388" s="21">
        <v>45455</v>
      </c>
      <c r="C388" s="21">
        <v>45455</v>
      </c>
      <c r="D388" s="22" t="s">
        <v>216</v>
      </c>
      <c r="E388" s="183">
        <v>414.4</v>
      </c>
      <c r="F388" s="88">
        <v>100</v>
      </c>
      <c r="G388" s="80"/>
      <c r="H388" s="136">
        <f>Tableau3384[[#This Row],[Montant
CHF]]+Tableau3384[[#This Row],[Abzug/Spesen
CHF]]</f>
        <v>414.4</v>
      </c>
      <c r="I388" s="39"/>
      <c r="J388" s="40"/>
      <c r="K388" s="189"/>
      <c r="L388" s="298"/>
      <c r="M388" s="81" t="s">
        <v>830</v>
      </c>
      <c r="N388" s="21">
        <v>45516</v>
      </c>
      <c r="O388" s="282" t="str">
        <f>IF(Tableau3384[[#This Row],[Date du paiement]]&gt;0,"",Tableau3384[[#This Row],[Montant
CHF]])</f>
        <v/>
      </c>
      <c r="P388" s="287" t="str">
        <f>IF(Tableau3384[[#This Row],[Date du paiement]]="",$B$4-Tableau3384[[#This Row],[Écheance]],"")</f>
        <v/>
      </c>
      <c r="Q388" s="168" t="str">
        <f>IF(Tableau3384[[#This Row],[Date du paiement]]="",IF(Tableau3384[[#This Row],[jours jusqu''à l''écheance]]&gt;0,Tableau3384[[#This Row],[Montant
CHF]],""),"")</f>
        <v/>
      </c>
      <c r="R388" s="298" t="str">
        <f>IF(Tableau3384[[#This Row],[Date du paiement]]="",IF(Tableau3384[[#This Row],[jours jusqu''à l''écheance]]-($B$4-$B$11-1)&gt;0,Tableau3384[[#This Row],[Montant
CHF]],""),"")</f>
        <v/>
      </c>
      <c r="S388" s="142"/>
      <c r="T388" s="95" t="str">
        <f>IF(Tableau3384[[#This Row],[Paiements prevus]]="oui",Tableau3384[[#This Row],[Montant prevu à payer CH]],"")</f>
        <v/>
      </c>
      <c r="U388" s="130"/>
      <c r="V388" s="73" t="s">
        <v>736</v>
      </c>
      <c r="W388" s="190"/>
      <c r="X388" s="23">
        <v>45516</v>
      </c>
      <c r="Y388" s="7" t="s">
        <v>58</v>
      </c>
      <c r="Z388" s="120" t="str">
        <f>IF(Tableau3384[[#This Row],[Méthode du paiement]]="Mastercard","OUI","")</f>
        <v/>
      </c>
      <c r="AA388" s="6" t="s">
        <v>604</v>
      </c>
      <c r="AB388" s="6" t="s">
        <v>780</v>
      </c>
    </row>
    <row r="389" spans="1:28" hidden="1" x14ac:dyDescent="0.25">
      <c r="A389" s="182" t="s">
        <v>745</v>
      </c>
      <c r="B389" s="21">
        <v>45455</v>
      </c>
      <c r="C389" s="21">
        <v>45455</v>
      </c>
      <c r="D389" s="186" t="s">
        <v>395</v>
      </c>
      <c r="E389" s="151">
        <v>200</v>
      </c>
      <c r="F389" s="195">
        <v>2.6</v>
      </c>
      <c r="G389" s="80"/>
      <c r="H389" s="136">
        <f>Tableau3384[[#This Row],[Montant
CHF]]+Tableau3384[[#This Row],[Abzug/Spesen
CHF]]</f>
        <v>200</v>
      </c>
      <c r="I389" s="39"/>
      <c r="J389" s="40"/>
      <c r="K389" s="189"/>
      <c r="L389" s="298"/>
      <c r="M389" s="81"/>
      <c r="N389" s="21">
        <v>45485</v>
      </c>
      <c r="O389" s="282" t="str">
        <f>IF(Tableau3384[[#This Row],[Date du paiement]]&gt;0,"",Tableau3384[[#This Row],[Montant
CHF]])</f>
        <v/>
      </c>
      <c r="P389" s="287" t="str">
        <f>IF(Tableau3384[[#This Row],[Date du paiement]]="",$B$4-Tableau3384[[#This Row],[Écheance]],"")</f>
        <v/>
      </c>
      <c r="Q389" s="168" t="str">
        <f>IF(Tableau3384[[#This Row],[Date du paiement]]="",IF(Tableau3384[[#This Row],[jours jusqu''à l''écheance]]&gt;0,Tableau3384[[#This Row],[Montant
CHF]],""),"")</f>
        <v/>
      </c>
      <c r="R389" s="298" t="str">
        <f>IF(Tableau3384[[#This Row],[Date du paiement]]="",IF(Tableau3384[[#This Row],[jours jusqu''à l''écheance]]-($B$4-$B$11-1)&gt;0,Tableau3384[[#This Row],[Montant
CHF]],""),"")</f>
        <v/>
      </c>
      <c r="S389" s="142"/>
      <c r="T389" s="95" t="str">
        <f>IF(Tableau3384[[#This Row],[Paiements prevus]]="oui",Tableau3384[[#This Row],[Montant prevu à payer CH]],"")</f>
        <v/>
      </c>
      <c r="U389" s="130"/>
      <c r="V389" s="73" t="s">
        <v>735</v>
      </c>
      <c r="W389" s="68"/>
      <c r="X389" s="23">
        <v>45485</v>
      </c>
      <c r="Y389" s="7" t="s">
        <v>58</v>
      </c>
      <c r="Z389" s="120" t="str">
        <f>IF(Tableau3384[[#This Row],[Méthode du paiement]]="Mastercard","OUI","")</f>
        <v/>
      </c>
      <c r="AA389" s="180" t="s">
        <v>14</v>
      </c>
      <c r="AB389" s="6" t="s">
        <v>102</v>
      </c>
    </row>
    <row r="390" spans="1:28" hidden="1" x14ac:dyDescent="0.25">
      <c r="A390" s="182" t="s">
        <v>762</v>
      </c>
      <c r="B390" s="21">
        <v>45455</v>
      </c>
      <c r="C390" s="21">
        <v>45456</v>
      </c>
      <c r="D390" s="154" t="s">
        <v>279</v>
      </c>
      <c r="E390" s="183">
        <v>4310</v>
      </c>
      <c r="F390" s="88">
        <v>0</v>
      </c>
      <c r="G390" s="80"/>
      <c r="H390" s="136">
        <f>Tableau3384[[#This Row],[Montant
CHF]]+Tableau3384[[#This Row],[Abzug/Spesen
CHF]]</f>
        <v>4310</v>
      </c>
      <c r="I390" s="39"/>
      <c r="J390" s="40"/>
      <c r="K390" s="189"/>
      <c r="L390" s="298"/>
      <c r="M390" s="81" t="s">
        <v>1116</v>
      </c>
      <c r="N390" s="21">
        <v>45473</v>
      </c>
      <c r="O390" s="282" t="str">
        <f>IF(Tableau3384[[#This Row],[Date du paiement]]&gt;0,"",Tableau3384[[#This Row],[Montant
CHF]])</f>
        <v/>
      </c>
      <c r="P390" s="287" t="str">
        <f>IF(Tableau3384[[#This Row],[Date du paiement]]="",$B$4-Tableau3384[[#This Row],[Écheance]],"")</f>
        <v/>
      </c>
      <c r="Q390" s="168" t="str">
        <f>IF(Tableau3384[[#This Row],[Date du paiement]]="",IF(Tableau3384[[#This Row],[jours jusqu''à l''écheance]]&gt;0,Tableau3384[[#This Row],[Montant
CHF]],""),"")</f>
        <v/>
      </c>
      <c r="R390" s="298" t="str">
        <f>IF(Tableau3384[[#This Row],[Date du paiement]]="",IF(Tableau3384[[#This Row],[jours jusqu''à l''écheance]]-($B$4-$B$11-1)&gt;0,Tableau3384[[#This Row],[Montant
CHF]],""),"")</f>
        <v/>
      </c>
      <c r="S390" s="142"/>
      <c r="T390" s="95" t="str">
        <f>IF(Tableau3384[[#This Row],[Paiements prevus]]="oui",Tableau3384[[#This Row],[Montant prevu à payer CH]],"")</f>
        <v/>
      </c>
      <c r="U390" s="130"/>
      <c r="V390" s="73" t="s">
        <v>735</v>
      </c>
      <c r="W390" s="68"/>
      <c r="X390" s="23">
        <v>45499</v>
      </c>
      <c r="Y390" s="7" t="s">
        <v>58</v>
      </c>
      <c r="Z390" s="120" t="str">
        <f>IF(Tableau3384[[#This Row],[Méthode du paiement]]="Mastercard","OUI","")</f>
        <v/>
      </c>
      <c r="AA390" s="180" t="s">
        <v>332</v>
      </c>
      <c r="AB390" s="6" t="s">
        <v>765</v>
      </c>
    </row>
    <row r="391" spans="1:28" hidden="1" x14ac:dyDescent="0.25">
      <c r="A391" s="9" t="s">
        <v>763</v>
      </c>
      <c r="B391" s="21">
        <v>45455</v>
      </c>
      <c r="C391" s="21">
        <v>45456</v>
      </c>
      <c r="D391" s="186" t="s">
        <v>279</v>
      </c>
      <c r="E391" s="11">
        <v>4310</v>
      </c>
      <c r="F391" s="88">
        <v>0</v>
      </c>
      <c r="G391" s="80"/>
      <c r="H391" s="136">
        <f>Tableau3384[[#This Row],[Montant
CHF]]+Tableau3384[[#This Row],[Abzug/Spesen
CHF]]</f>
        <v>4310</v>
      </c>
      <c r="I391" s="39"/>
      <c r="J391" s="40"/>
      <c r="K391" s="189"/>
      <c r="L391" s="298"/>
      <c r="M391" s="81" t="s">
        <v>1116</v>
      </c>
      <c r="N391" s="21">
        <v>45504</v>
      </c>
      <c r="O391" s="282" t="str">
        <f>IF(Tableau3384[[#This Row],[Date du paiement]]&gt;0,"",Tableau3384[[#This Row],[Montant
CHF]])</f>
        <v/>
      </c>
      <c r="P391" s="287" t="str">
        <f>IF(Tableau3384[[#This Row],[Date du paiement]]="",$B$4-Tableau3384[[#This Row],[Écheance]],"")</f>
        <v/>
      </c>
      <c r="Q391" s="168" t="str">
        <f>IF(Tableau3384[[#This Row],[Date du paiement]]="",IF(Tableau3384[[#This Row],[jours jusqu''à l''écheance]]&gt;0,Tableau3384[[#This Row],[Montant
CHF]],""),"")</f>
        <v/>
      </c>
      <c r="R391" s="298" t="str">
        <f>IF(Tableau3384[[#This Row],[Date du paiement]]="",IF(Tableau3384[[#This Row],[jours jusqu''à l''écheance]]-($B$4-$B$11-1)&gt;0,Tableau3384[[#This Row],[Montant
CHF]],""),"")</f>
        <v/>
      </c>
      <c r="S391" s="142"/>
      <c r="T391" s="95" t="str">
        <f>IF(Tableau3384[[#This Row],[Paiements prevus]]="oui",Tableau3384[[#This Row],[Montant prevu à payer CH]],"")</f>
        <v/>
      </c>
      <c r="U391" s="130"/>
      <c r="V391" s="73" t="s">
        <v>735</v>
      </c>
      <c r="W391" s="68"/>
      <c r="X391" s="23">
        <v>45513</v>
      </c>
      <c r="Y391" s="7" t="s">
        <v>58</v>
      </c>
      <c r="Z391" s="120" t="str">
        <f>IF(Tableau3384[[#This Row],[Méthode du paiement]]="Mastercard","OUI","")</f>
        <v/>
      </c>
      <c r="AA391" s="180" t="s">
        <v>332</v>
      </c>
      <c r="AB391" s="6" t="s">
        <v>766</v>
      </c>
    </row>
    <row r="392" spans="1:28" hidden="1" x14ac:dyDescent="0.25">
      <c r="A392" s="182" t="s">
        <v>764</v>
      </c>
      <c r="B392" s="185">
        <v>45455</v>
      </c>
      <c r="C392" s="185">
        <v>45456</v>
      </c>
      <c r="D392" s="186" t="s">
        <v>279</v>
      </c>
      <c r="E392" s="183">
        <v>4310</v>
      </c>
      <c r="F392" s="195">
        <v>0</v>
      </c>
      <c r="G392" s="193"/>
      <c r="H392" s="136">
        <f>Tableau3384[[#This Row],[Montant
CHF]]+Tableau3384[[#This Row],[Abzug/Spesen
CHF]]</f>
        <v>4310</v>
      </c>
      <c r="I392" s="188"/>
      <c r="J392" s="189"/>
      <c r="K392" s="189"/>
      <c r="L392" s="298"/>
      <c r="M392" s="194" t="s">
        <v>1116</v>
      </c>
      <c r="N392" s="185">
        <v>45535</v>
      </c>
      <c r="O392" s="282" t="str">
        <f>IF(Tableau3384[[#This Row],[Date du paiement]]&gt;0,"",Tableau3384[[#This Row],[Montant
CHF]])</f>
        <v/>
      </c>
      <c r="P392" s="287" t="str">
        <f>IF(Tableau3384[[#This Row],[Date du paiement]]="",$B$4-Tableau3384[[#This Row],[Écheance]],"")</f>
        <v/>
      </c>
      <c r="Q392" s="168" t="str">
        <f>IF(Tableau3384[[#This Row],[Date du paiement]]="",IF(Tableau3384[[#This Row],[jours jusqu''à l''écheance]]&gt;0,Tableau3384[[#This Row],[Montant
CHF]],""),"")</f>
        <v/>
      </c>
      <c r="R392" s="298" t="str">
        <f>IF(Tableau3384[[#This Row],[Date du paiement]]="",IF(Tableau3384[[#This Row],[jours jusqu''à l''écheance]]-($B$4-$B$11-1)&gt;0,Tableau3384[[#This Row],[Montant
CHF]],""),"")</f>
        <v/>
      </c>
      <c r="S392" s="142"/>
      <c r="T392" s="95" t="str">
        <f>IF(Tableau3384[[#This Row],[Paiements prevus]]="oui",Tableau3384[[#This Row],[Montant prevu à payer CH]],"")</f>
        <v/>
      </c>
      <c r="U392" s="177"/>
      <c r="V392" s="192" t="s">
        <v>735</v>
      </c>
      <c r="W392" s="68"/>
      <c r="X392" s="23">
        <v>45537</v>
      </c>
      <c r="Y392" s="7" t="s">
        <v>58</v>
      </c>
      <c r="Z392" s="120" t="str">
        <f>IF(Tableau3384[[#This Row],[Méthode du paiement]]="Mastercard","OUI","")</f>
        <v/>
      </c>
      <c r="AA392" s="180" t="s">
        <v>332</v>
      </c>
      <c r="AB392" s="180" t="s">
        <v>767</v>
      </c>
    </row>
    <row r="393" spans="1:28" hidden="1" x14ac:dyDescent="0.25">
      <c r="A393" s="9" t="s">
        <v>753</v>
      </c>
      <c r="B393" s="21">
        <v>45455</v>
      </c>
      <c r="C393" s="21">
        <v>45456</v>
      </c>
      <c r="D393" s="22" t="s">
        <v>754</v>
      </c>
      <c r="E393" s="183">
        <v>608.04999999999995</v>
      </c>
      <c r="F393" s="88">
        <v>8.1</v>
      </c>
      <c r="G393" s="80"/>
      <c r="H393" s="136">
        <f>Tableau3384[[#This Row],[Montant
CHF]]+Tableau3384[[#This Row],[Abzug/Spesen
CHF]]</f>
        <v>608.04999999999995</v>
      </c>
      <c r="I393" s="39"/>
      <c r="J393" s="40"/>
      <c r="K393" s="189"/>
      <c r="L393" s="298"/>
      <c r="M393" s="194"/>
      <c r="N393" s="21">
        <v>45485</v>
      </c>
      <c r="O393" s="282" t="str">
        <f>IF(Tableau3384[[#This Row],[Date du paiement]]&gt;0,"",Tableau3384[[#This Row],[Montant
CHF]])</f>
        <v/>
      </c>
      <c r="P393" s="287" t="str">
        <f>IF(Tableau3384[[#This Row],[Date du paiement]]="",$B$4-Tableau3384[[#This Row],[Écheance]],"")</f>
        <v/>
      </c>
      <c r="Q393" s="168" t="str">
        <f>IF(Tableau3384[[#This Row],[Date du paiement]]="",IF(Tableau3384[[#This Row],[jours jusqu''à l''écheance]]&gt;0,Tableau3384[[#This Row],[Montant
CHF]],""),"")</f>
        <v/>
      </c>
      <c r="R393" s="298" t="str">
        <f>IF(Tableau3384[[#This Row],[Date du paiement]]="",IF(Tableau3384[[#This Row],[jours jusqu''à l''écheance]]-($B$4-$B$11-1)&gt;0,Tableau3384[[#This Row],[Montant
CHF]],""),"")</f>
        <v/>
      </c>
      <c r="S393" s="142"/>
      <c r="T393" s="95" t="str">
        <f>IF(Tableau3384[[#This Row],[Paiements prevus]]="oui",Tableau3384[[#This Row],[Montant prevu à payer CH]],"")</f>
        <v/>
      </c>
      <c r="U393" s="130"/>
      <c r="V393" s="73" t="s">
        <v>735</v>
      </c>
      <c r="W393" s="68"/>
      <c r="X393" s="23">
        <v>45485</v>
      </c>
      <c r="Y393" s="7" t="s">
        <v>58</v>
      </c>
      <c r="Z393" s="120" t="str">
        <f>IF(Tableau3384[[#This Row],[Méthode du paiement]]="Mastercard","OUI","")</f>
        <v/>
      </c>
      <c r="AA393" s="6" t="s">
        <v>30</v>
      </c>
      <c r="AB393" s="6" t="s">
        <v>755</v>
      </c>
    </row>
    <row r="394" spans="1:28" hidden="1" x14ac:dyDescent="0.25">
      <c r="A394" s="9" t="s">
        <v>756</v>
      </c>
      <c r="B394" s="21">
        <v>45455</v>
      </c>
      <c r="C394" s="21">
        <v>45456</v>
      </c>
      <c r="D394" s="22" t="s">
        <v>380</v>
      </c>
      <c r="E394" s="11">
        <v>9723.6</v>
      </c>
      <c r="F394" s="88">
        <v>8.1</v>
      </c>
      <c r="G394" s="80"/>
      <c r="H394" s="136">
        <f>Tableau3384[[#This Row],[Montant
CHF]]+Tableau3384[[#This Row],[Abzug/Spesen
CHF]]</f>
        <v>9723.6</v>
      </c>
      <c r="I394" s="39"/>
      <c r="J394" s="40"/>
      <c r="K394" s="189"/>
      <c r="L394" s="298"/>
      <c r="M394" s="81"/>
      <c r="N394" s="21">
        <v>45465</v>
      </c>
      <c r="O394" s="282" t="str">
        <f>IF(Tableau3384[[#This Row],[Date du paiement]]&gt;0,"",Tableau3384[[#This Row],[Montant
CHF]])</f>
        <v/>
      </c>
      <c r="P394" s="287" t="str">
        <f>IF(Tableau3384[[#This Row],[Date du paiement]]="",$B$4-Tableau3384[[#This Row],[Écheance]],"")</f>
        <v/>
      </c>
      <c r="Q394" s="168" t="str">
        <f>IF(Tableau3384[[#This Row],[Date du paiement]]="",IF(Tableau3384[[#This Row],[jours jusqu''à l''écheance]]&gt;0,Tableau3384[[#This Row],[Montant
CHF]],""),"")</f>
        <v/>
      </c>
      <c r="R394" s="298" t="str">
        <f>IF(Tableau3384[[#This Row],[Date du paiement]]="",IF(Tableau3384[[#This Row],[jours jusqu''à l''écheance]]-($B$4-$B$11-1)&gt;0,Tableau3384[[#This Row],[Montant
CHF]],""),"")</f>
        <v/>
      </c>
      <c r="S394" s="142"/>
      <c r="T394" s="95" t="str">
        <f>IF(Tableau3384[[#This Row],[Paiements prevus]]="oui",Tableau3384[[#This Row],[Montant prevu à payer CH]],"")</f>
        <v/>
      </c>
      <c r="U394" s="130"/>
      <c r="V394" s="73" t="s">
        <v>738</v>
      </c>
      <c r="W394" s="68"/>
      <c r="X394" s="23">
        <v>45485</v>
      </c>
      <c r="Y394" s="7" t="s">
        <v>58</v>
      </c>
      <c r="Z394" s="120" t="str">
        <f>IF(Tableau3384[[#This Row],[Méthode du paiement]]="Mastercard","OUI","")</f>
        <v/>
      </c>
      <c r="AA394" s="6" t="s">
        <v>14</v>
      </c>
      <c r="AB394" s="6" t="s">
        <v>757</v>
      </c>
    </row>
    <row r="395" spans="1:28" hidden="1" x14ac:dyDescent="0.25">
      <c r="A395" s="9" t="s">
        <v>56</v>
      </c>
      <c r="B395" s="21">
        <v>45455</v>
      </c>
      <c r="C395" s="21">
        <v>45457</v>
      </c>
      <c r="D395" s="22" t="s">
        <v>57</v>
      </c>
      <c r="E395" s="11">
        <v>3940.75</v>
      </c>
      <c r="F395" s="88" t="s">
        <v>0</v>
      </c>
      <c r="G395" s="80"/>
      <c r="H395" s="136">
        <f>Tableau3384[[#This Row],[Montant
CHF]]+Tableau3384[[#This Row],[Abzug/Spesen
CHF]]</f>
        <v>3940.75</v>
      </c>
      <c r="I395" s="39"/>
      <c r="J395" s="40"/>
      <c r="K395" s="189"/>
      <c r="L395" s="298"/>
      <c r="M395" s="81"/>
      <c r="N395" s="21">
        <v>45475</v>
      </c>
      <c r="O395" s="282" t="str">
        <f>IF(Tableau3384[[#This Row],[Date du paiement]]&gt;0,"",Tableau3384[[#This Row],[Montant
CHF]])</f>
        <v/>
      </c>
      <c r="P395" s="287" t="str">
        <f>IF(Tableau3384[[#This Row],[Date du paiement]]="",$B$4-Tableau3384[[#This Row],[Écheance]],"")</f>
        <v/>
      </c>
      <c r="Q395" s="168" t="str">
        <f>IF(Tableau3384[[#This Row],[Date du paiement]]="",IF(Tableau3384[[#This Row],[jours jusqu''à l''écheance]]&gt;0,Tableau3384[[#This Row],[Montant
CHF]],""),"")</f>
        <v/>
      </c>
      <c r="R395" s="298" t="str">
        <f>IF(Tableau3384[[#This Row],[Date du paiement]]="",IF(Tableau3384[[#This Row],[jours jusqu''à l''écheance]]-($B$4-$B$11-1)&gt;0,Tableau3384[[#This Row],[Montant
CHF]],""),"")</f>
        <v/>
      </c>
      <c r="S395" s="142"/>
      <c r="T395" s="95" t="str">
        <f>IF(Tableau3384[[#This Row],[Paiements prevus]]="oui",Tableau3384[[#This Row],[Montant prevu à payer CH]],"")</f>
        <v/>
      </c>
      <c r="U395" s="130"/>
      <c r="V395" s="73" t="s">
        <v>799</v>
      </c>
      <c r="W395" s="68"/>
      <c r="X395" s="23">
        <v>45474</v>
      </c>
      <c r="Y395" s="7" t="s">
        <v>58</v>
      </c>
      <c r="Z395" s="120" t="str">
        <f>IF(Tableau3384[[#This Row],[Méthode du paiement]]="Mastercard","OUI","")</f>
        <v/>
      </c>
      <c r="AA395" s="6" t="s">
        <v>43</v>
      </c>
      <c r="AB395" s="6" t="s">
        <v>414</v>
      </c>
    </row>
    <row r="396" spans="1:28" hidden="1" x14ac:dyDescent="0.25">
      <c r="A396" s="182" t="s">
        <v>751</v>
      </c>
      <c r="B396" s="21">
        <v>45456</v>
      </c>
      <c r="C396" s="21">
        <v>45456</v>
      </c>
      <c r="D396" s="22" t="s">
        <v>22</v>
      </c>
      <c r="E396" s="183">
        <v>1491.8</v>
      </c>
      <c r="F396" s="88">
        <v>8.1</v>
      </c>
      <c r="G396" s="80">
        <v>-29.84</v>
      </c>
      <c r="H396" s="136">
        <f>Tableau3384[[#This Row],[Montant
CHF]]+Tableau3384[[#This Row],[Abzug/Spesen
CHF]]</f>
        <v>1461.96</v>
      </c>
      <c r="I396" s="39"/>
      <c r="J396" s="40"/>
      <c r="K396" s="189"/>
      <c r="L396" s="298"/>
      <c r="M396" s="81"/>
      <c r="N396" s="21">
        <v>45486</v>
      </c>
      <c r="O396" s="282" t="str">
        <f>IF(Tableau3384[[#This Row],[Date du paiement]]&gt;0,"",Tableau3384[[#This Row],[Montant
CHF]])</f>
        <v/>
      </c>
      <c r="P396" s="287" t="str">
        <f>IF(Tableau3384[[#This Row],[Date du paiement]]="",$B$4-Tableau3384[[#This Row],[Écheance]],"")</f>
        <v/>
      </c>
      <c r="Q396" s="168" t="str">
        <f>IF(Tableau3384[[#This Row],[Date du paiement]]="",IF(Tableau3384[[#This Row],[jours jusqu''à l''écheance]]&gt;0,Tableau3384[[#This Row],[Montant
CHF]],""),"")</f>
        <v/>
      </c>
      <c r="R396" s="298" t="str">
        <f>IF(Tableau3384[[#This Row],[Date du paiement]]="",IF(Tableau3384[[#This Row],[jours jusqu''à l''écheance]]-($B$4-$B$11-1)&gt;0,Tableau3384[[#This Row],[Montant
CHF]],""),"")</f>
        <v/>
      </c>
      <c r="S396" s="142"/>
      <c r="T396" s="95" t="str">
        <f>IF(Tableau3384[[#This Row],[Paiements prevus]]="oui",Tableau3384[[#This Row],[Montant prevu à payer CH]],"")</f>
        <v/>
      </c>
      <c r="U396" s="177"/>
      <c r="V396" s="73" t="s">
        <v>738</v>
      </c>
      <c r="W396" s="68"/>
      <c r="X396" s="23">
        <v>45468</v>
      </c>
      <c r="Y396" s="7" t="s">
        <v>58</v>
      </c>
      <c r="Z396" s="120" t="str">
        <f>IF(Tableau3384[[#This Row],[Méthode du paiement]]="Mastercard","OUI","")</f>
        <v/>
      </c>
      <c r="AA396" s="6" t="s">
        <v>14</v>
      </c>
      <c r="AB396" s="6" t="s">
        <v>752</v>
      </c>
    </row>
    <row r="397" spans="1:28" hidden="1" x14ac:dyDescent="0.25">
      <c r="A397" s="182" t="s">
        <v>747</v>
      </c>
      <c r="B397" s="21">
        <v>45456</v>
      </c>
      <c r="C397" s="21">
        <v>45456</v>
      </c>
      <c r="D397" s="22" t="s">
        <v>196</v>
      </c>
      <c r="E397" s="166">
        <v>614.5</v>
      </c>
      <c r="F397" s="88">
        <v>8.1</v>
      </c>
      <c r="G397" s="80"/>
      <c r="H397" s="136">
        <f>Tableau3384[[#This Row],[Montant
CHF]]+Tableau3384[[#This Row],[Abzug/Spesen
CHF]]</f>
        <v>614.5</v>
      </c>
      <c r="I397" s="39"/>
      <c r="J397" s="40"/>
      <c r="K397" s="189"/>
      <c r="L397" s="298"/>
      <c r="M397" s="81" t="s">
        <v>746</v>
      </c>
      <c r="N397" s="21">
        <v>45466</v>
      </c>
      <c r="O397" s="282" t="str">
        <f>IF(Tableau3384[[#This Row],[Date du paiement]]&gt;0,"",Tableau3384[[#This Row],[Montant
CHF]])</f>
        <v/>
      </c>
      <c r="P397" s="276" t="str">
        <f>IF(Tableau3384[[#This Row],[Date du paiement]]="",$B$4-Tableau3384[[#This Row],[Écheance]],"")</f>
        <v/>
      </c>
      <c r="Q397" s="168" t="str">
        <f>IF(Tableau3384[[#This Row],[Date du paiement]]="",IF(Tableau3384[[#This Row],[jours jusqu''à l''écheance]]&gt;0,Tableau3384[[#This Row],[Montant
CHF]],""),"")</f>
        <v/>
      </c>
      <c r="R397" s="298" t="str">
        <f>IF(Tableau3384[[#This Row],[Date du paiement]]="",IF(Tableau3384[[#This Row],[jours jusqu''à l''écheance]]-($B$4-$B$11-1)&gt;0,Tableau3384[[#This Row],[Montant
CHF]],""),"")</f>
        <v/>
      </c>
      <c r="S397" s="142"/>
      <c r="T397" s="95" t="str">
        <f>IF(Tableau3384[[#This Row],[Paiements prevus]]="oui",Tableau3384[[#This Row],[Montant prevu à payer CH]],"")</f>
        <v/>
      </c>
      <c r="U397" s="177"/>
      <c r="V397" s="73" t="s">
        <v>735</v>
      </c>
      <c r="W397" s="68"/>
      <c r="X397" s="23">
        <v>45488</v>
      </c>
      <c r="Y397" s="7" t="s">
        <v>58</v>
      </c>
      <c r="Z397" s="120" t="str">
        <f>IF(Tableau3384[[#This Row],[Méthode du paiement]]="Mastercard","OUI","")</f>
        <v/>
      </c>
      <c r="AA397" s="6" t="s">
        <v>4</v>
      </c>
      <c r="AB397" s="6" t="s">
        <v>693</v>
      </c>
    </row>
    <row r="398" spans="1:28" hidden="1" x14ac:dyDescent="0.25">
      <c r="A398" s="9" t="s">
        <v>781</v>
      </c>
      <c r="B398" s="21">
        <v>45456</v>
      </c>
      <c r="C398" s="21">
        <v>45457</v>
      </c>
      <c r="D398" s="186" t="s">
        <v>13</v>
      </c>
      <c r="E398" s="183">
        <f>Tableau3384[[#This Row],[Montant
EUR]]*Tableau3384[[#This Row],[Taux 
de change]]</f>
        <v>22947.088959999997</v>
      </c>
      <c r="F398" s="88">
        <v>0</v>
      </c>
      <c r="G398" s="80"/>
      <c r="H398" s="136">
        <f>Tableau3384[[#This Row],[Montant
CHF]]+Tableau3384[[#This Row],[Abzug/Spesen
CHF]]</f>
        <v>22947.088959999997</v>
      </c>
      <c r="I398" s="39">
        <v>0.95799999999999996</v>
      </c>
      <c r="J398" s="40">
        <v>23953.119999999999</v>
      </c>
      <c r="K398" s="189"/>
      <c r="L398" s="298"/>
      <c r="M398" s="194"/>
      <c r="N398" s="185">
        <v>45517</v>
      </c>
      <c r="O398" s="282" t="str">
        <f>IF(Tableau3384[[#This Row],[Date du paiement]]&gt;0,"",Tableau3384[[#This Row],[Montant
CHF]])</f>
        <v/>
      </c>
      <c r="P398" s="287" t="str">
        <f>IF(Tableau3384[[#This Row],[Date du paiement]]="",$B$4-Tableau3384[[#This Row],[Écheance]],"")</f>
        <v/>
      </c>
      <c r="Q398" s="168" t="str">
        <f>IF(Tableau3384[[#This Row],[Date du paiement]]="",IF(Tableau3384[[#This Row],[jours jusqu''à l''écheance]]&gt;0,Tableau3384[[#This Row],[Montant
CHF]],""),"")</f>
        <v/>
      </c>
      <c r="R398" s="298" t="str">
        <f>IF(Tableau3384[[#This Row],[Date du paiement]]="",IF(Tableau3384[[#This Row],[jours jusqu''à l''écheance]]-($B$4-$B$11-1)&gt;0,Tableau3384[[#This Row],[Montant
CHF]],""),"")</f>
        <v/>
      </c>
      <c r="S398" s="142"/>
      <c r="T398" s="95" t="str">
        <f>IF(Tableau3384[[#This Row],[Paiements prevus]]="oui",Tableau3384[[#This Row],[Montant prevu à payer CH]],"")</f>
        <v/>
      </c>
      <c r="U398" s="177"/>
      <c r="V398" s="73" t="s">
        <v>737</v>
      </c>
      <c r="W398" s="68"/>
      <c r="X398" s="23">
        <v>45523</v>
      </c>
      <c r="Y398" s="7" t="s">
        <v>58</v>
      </c>
      <c r="Z398" s="120" t="str">
        <f>IF(Tableau3384[[#This Row],[Méthode du paiement]]="Mastercard","OUI","")</f>
        <v/>
      </c>
      <c r="AA398" s="6" t="s">
        <v>14</v>
      </c>
      <c r="AB398" s="6" t="s">
        <v>782</v>
      </c>
    </row>
    <row r="399" spans="1:28" hidden="1" x14ac:dyDescent="0.25">
      <c r="A399" s="9" t="s">
        <v>770</v>
      </c>
      <c r="B399" s="21">
        <v>45456</v>
      </c>
      <c r="C399" s="21">
        <v>45457</v>
      </c>
      <c r="D399" s="22" t="s">
        <v>92</v>
      </c>
      <c r="E399" s="183">
        <v>50.2</v>
      </c>
      <c r="F399" s="88">
        <v>8.1</v>
      </c>
      <c r="G399" s="80"/>
      <c r="H399" s="136">
        <f>Tableau3384[[#This Row],[Montant
CHF]]+Tableau3384[[#This Row],[Abzug/Spesen
CHF]]</f>
        <v>50.2</v>
      </c>
      <c r="I399" s="39"/>
      <c r="J399" s="40"/>
      <c r="K399" s="189"/>
      <c r="L399" s="298"/>
      <c r="M399" s="81"/>
      <c r="N399" s="21">
        <v>45466</v>
      </c>
      <c r="O399" s="282" t="str">
        <f>IF(Tableau3384[[#This Row],[Date du paiement]]&gt;0,"",Tableau3384[[#This Row],[Montant
CHF]])</f>
        <v/>
      </c>
      <c r="P399" s="287" t="str">
        <f>IF(Tableau3384[[#This Row],[Date du paiement]]="",$B$4-Tableau3384[[#This Row],[Écheance]],"")</f>
        <v/>
      </c>
      <c r="Q399" s="168" t="str">
        <f>IF(Tableau3384[[#This Row],[Date du paiement]]="",IF(Tableau3384[[#This Row],[jours jusqu''à l''écheance]]&gt;0,Tableau3384[[#This Row],[Montant
CHF]],""),"")</f>
        <v/>
      </c>
      <c r="R399" s="298" t="str">
        <f>IF(Tableau3384[[#This Row],[Date du paiement]]="",IF(Tableau3384[[#This Row],[jours jusqu''à l''écheance]]-($B$4-$B$11-1)&gt;0,Tableau3384[[#This Row],[Montant
CHF]],""),"")</f>
        <v/>
      </c>
      <c r="S399" s="142"/>
      <c r="T399" s="95" t="str">
        <f>IF(Tableau3384[[#This Row],[Paiements prevus]]="oui",Tableau3384[[#This Row],[Montant prevu à payer CH]],"")</f>
        <v/>
      </c>
      <c r="U399" s="130"/>
      <c r="V399" s="73" t="s">
        <v>738</v>
      </c>
      <c r="W399" s="68"/>
      <c r="X399" s="23">
        <v>45488</v>
      </c>
      <c r="Y399" s="7" t="s">
        <v>58</v>
      </c>
      <c r="Z399" s="120" t="str">
        <f>IF(Tableau3384[[#This Row],[Méthode du paiement]]="Mastercard","OUI","")</f>
        <v/>
      </c>
      <c r="AA399" s="6" t="s">
        <v>14</v>
      </c>
      <c r="AB399" s="6" t="s">
        <v>771</v>
      </c>
    </row>
    <row r="400" spans="1:28" hidden="1" x14ac:dyDescent="0.25">
      <c r="A400" s="9" t="s">
        <v>776</v>
      </c>
      <c r="B400" s="21">
        <v>45456</v>
      </c>
      <c r="C400" s="21">
        <v>45457</v>
      </c>
      <c r="D400" s="22" t="s">
        <v>777</v>
      </c>
      <c r="E400" s="11">
        <v>22.85</v>
      </c>
      <c r="F400" s="88">
        <v>8.1</v>
      </c>
      <c r="G400" s="80"/>
      <c r="H400" s="136">
        <f>Tableau3384[[#This Row],[Montant
CHF]]+Tableau3384[[#This Row],[Abzug/Spesen
CHF]]</f>
        <v>22.85</v>
      </c>
      <c r="I400" s="39"/>
      <c r="J400" s="40"/>
      <c r="K400" s="189"/>
      <c r="L400" s="298"/>
      <c r="M400" s="194"/>
      <c r="N400" s="21">
        <v>45486</v>
      </c>
      <c r="O400" s="282" t="str">
        <f>IF(Tableau3384[[#This Row],[Date du paiement]]&gt;0,"",Tableau3384[[#This Row],[Montant
CHF]])</f>
        <v/>
      </c>
      <c r="P400" s="287" t="str">
        <f>IF(Tableau3384[[#This Row],[Date du paiement]]="",$B$4-Tableau3384[[#This Row],[Écheance]],"")</f>
        <v/>
      </c>
      <c r="Q400" s="168" t="str">
        <f>IF(Tableau3384[[#This Row],[Date du paiement]]="",IF(Tableau3384[[#This Row],[jours jusqu''à l''écheance]]&gt;0,Tableau3384[[#This Row],[Montant
CHF]],""),"")</f>
        <v/>
      </c>
      <c r="R400" s="298" t="str">
        <f>IF(Tableau3384[[#This Row],[Date du paiement]]="",IF(Tableau3384[[#This Row],[jours jusqu''à l''écheance]]-($B$4-$B$11-1)&gt;0,Tableau3384[[#This Row],[Montant
CHF]],""),"")</f>
        <v/>
      </c>
      <c r="S400" s="142"/>
      <c r="T400" s="95" t="str">
        <f>IF(Tableau3384[[#This Row],[Paiements prevus]]="oui",Tableau3384[[#This Row],[Montant prevu à payer CH]],"")</f>
        <v/>
      </c>
      <c r="U400" s="130"/>
      <c r="V400" s="73" t="s">
        <v>738</v>
      </c>
      <c r="W400" s="68"/>
      <c r="X400" s="23">
        <v>45488</v>
      </c>
      <c r="Y400" s="7" t="s">
        <v>58</v>
      </c>
      <c r="Z400" s="120" t="str">
        <f>IF(Tableau3384[[#This Row],[Méthode du paiement]]="Mastercard","OUI","")</f>
        <v/>
      </c>
      <c r="AA400" s="6" t="s">
        <v>14</v>
      </c>
      <c r="AB400" s="6" t="s">
        <v>778</v>
      </c>
    </row>
    <row r="401" spans="1:28" hidden="1" x14ac:dyDescent="0.25">
      <c r="A401" s="9" t="s">
        <v>787</v>
      </c>
      <c r="B401" s="21">
        <v>45457</v>
      </c>
      <c r="C401" s="21">
        <v>45460</v>
      </c>
      <c r="D401" s="22" t="s">
        <v>35</v>
      </c>
      <c r="E401" s="183">
        <v>3461.25</v>
      </c>
      <c r="F401" s="88">
        <v>0</v>
      </c>
      <c r="G401" s="80"/>
      <c r="H401" s="136">
        <f>Tableau3384[[#This Row],[Montant
CHF]]+Tableau3384[[#This Row],[Abzug/Spesen
CHF]]</f>
        <v>3461.25</v>
      </c>
      <c r="I401" s="39"/>
      <c r="J401" s="40"/>
      <c r="K401" s="189"/>
      <c r="L401" s="298"/>
      <c r="M401" s="81" t="s">
        <v>1256</v>
      </c>
      <c r="N401" s="21">
        <v>45483</v>
      </c>
      <c r="O401" s="282" t="str">
        <f>IF(Tableau3384[[#This Row],[Date du paiement]]&gt;0,"",Tableau3384[[#This Row],[Montant
CHF]])</f>
        <v/>
      </c>
      <c r="P401" s="287" t="str">
        <f>IF(Tableau3384[[#This Row],[Date du paiement]]="",$B$4-Tableau3384[[#This Row],[Écheance]],"")</f>
        <v/>
      </c>
      <c r="Q401" s="168" t="str">
        <f>IF(Tableau3384[[#This Row],[Date du paiement]]="",IF(Tableau3384[[#This Row],[jours jusqu''à l''écheance]]&gt;0,Tableau3384[[#This Row],[Montant
CHF]],""),"")</f>
        <v/>
      </c>
      <c r="R401" s="298" t="str">
        <f>IF(Tableau3384[[#This Row],[Date du paiement]]="",IF(Tableau3384[[#This Row],[jours jusqu''à l''écheance]]-($B$4-$B$11-1)&gt;0,Tableau3384[[#This Row],[Montant
CHF]],""),"")</f>
        <v/>
      </c>
      <c r="S401" s="142"/>
      <c r="T401" s="95" t="str">
        <f>IF(Tableau3384[[#This Row],[Paiements prevus]]="oui",Tableau3384[[#This Row],[Montant prevu à payer CH]],"")</f>
        <v/>
      </c>
      <c r="U401" s="130"/>
      <c r="V401" s="73" t="s">
        <v>789</v>
      </c>
      <c r="W401" s="68"/>
      <c r="X401" s="23">
        <v>45483</v>
      </c>
      <c r="Y401" s="7" t="s">
        <v>58</v>
      </c>
      <c r="Z401" s="120" t="str">
        <f>IF(Tableau3384[[#This Row],[Méthode du paiement]]="Mastercard","OUI","")</f>
        <v/>
      </c>
      <c r="AA401" s="6" t="s">
        <v>4</v>
      </c>
      <c r="AB401" s="6" t="s">
        <v>788</v>
      </c>
    </row>
    <row r="402" spans="1:28" hidden="1" x14ac:dyDescent="0.25">
      <c r="A402" s="9" t="s">
        <v>1367</v>
      </c>
      <c r="B402" s="21">
        <v>45460</v>
      </c>
      <c r="C402" s="21">
        <v>45526</v>
      </c>
      <c r="D402" s="22" t="s">
        <v>1368</v>
      </c>
      <c r="E402" s="11">
        <v>97.3</v>
      </c>
      <c r="F402" s="88">
        <v>8.1</v>
      </c>
      <c r="G402" s="80"/>
      <c r="H402" s="136">
        <f>Tableau3384[[#This Row],[Montant
CHF]]+Tableau3384[[#This Row],[Abzug/Spesen
CHF]]</f>
        <v>97.3</v>
      </c>
      <c r="I402" s="39"/>
      <c r="J402" s="40"/>
      <c r="K402" s="189"/>
      <c r="L402" s="298"/>
      <c r="M402" s="81"/>
      <c r="N402" s="185">
        <v>45470</v>
      </c>
      <c r="O402" s="282" t="str">
        <f>IF(Tableau3384[[#This Row],[Date du paiement]]&gt;0,"",Tableau3384[[#This Row],[Montant
CHF]])</f>
        <v/>
      </c>
      <c r="P402" s="287" t="str">
        <f>IF(Tableau3384[[#This Row],[Date du paiement]]="",$B$4-Tableau3384[[#This Row],[Écheance]],"")</f>
        <v/>
      </c>
      <c r="Q402" s="168" t="str">
        <f>IF(Tableau3384[[#This Row],[Date du paiement]]="",IF(Tableau3384[[#This Row],[jours jusqu''à l''écheance]]&gt;0,Tableau3384[[#This Row],[Montant
CHF]],""),"")</f>
        <v/>
      </c>
      <c r="R402" s="298" t="str">
        <f>IF(Tableau3384[[#This Row],[Date du paiement]]="",IF(Tableau3384[[#This Row],[jours jusqu''à l''écheance]]-($B$4-$B$11-1)&gt;0,Tableau3384[[#This Row],[Montant
CHF]],""),"")</f>
        <v/>
      </c>
      <c r="S402" s="142"/>
      <c r="T402" s="95" t="str">
        <f>IF(Tableau3384[[#This Row],[Paiements prevus]]="oui",Tableau3384[[#This Row],[Montant prevu à payer CH]],"")</f>
        <v/>
      </c>
      <c r="U402" s="130"/>
      <c r="V402" s="73" t="s">
        <v>735</v>
      </c>
      <c r="W402" s="68"/>
      <c r="X402" s="23">
        <v>45530</v>
      </c>
      <c r="Y402" s="7" t="s">
        <v>58</v>
      </c>
      <c r="Z402" s="120" t="str">
        <f>IF(Tableau3384[[#This Row],[Méthode du paiement]]="Mastercard","OUI","")</f>
        <v/>
      </c>
      <c r="AA402" s="180" t="s">
        <v>30</v>
      </c>
      <c r="AB402" s="6" t="s">
        <v>1369</v>
      </c>
    </row>
    <row r="403" spans="1:28" hidden="1" x14ac:dyDescent="0.25">
      <c r="A403" s="182" t="s">
        <v>790</v>
      </c>
      <c r="B403" s="21">
        <v>45461</v>
      </c>
      <c r="C403" s="21">
        <v>45461</v>
      </c>
      <c r="D403" s="22" t="s">
        <v>25</v>
      </c>
      <c r="E403" s="183">
        <v>40</v>
      </c>
      <c r="F403" s="88">
        <v>0</v>
      </c>
      <c r="G403" s="80"/>
      <c r="H403" s="136">
        <f>Tableau3384[[#This Row],[Montant
CHF]]+Tableau3384[[#This Row],[Abzug/Spesen
CHF]]</f>
        <v>40</v>
      </c>
      <c r="I403" s="39"/>
      <c r="J403" s="40"/>
      <c r="K403" s="189"/>
      <c r="L403" s="298"/>
      <c r="M403" s="81"/>
      <c r="N403" s="21">
        <v>45481</v>
      </c>
      <c r="O403" s="282" t="str">
        <f>IF(Tableau3384[[#This Row],[Date du paiement]]&gt;0,"",Tableau3384[[#This Row],[Montant
CHF]])</f>
        <v/>
      </c>
      <c r="P403" s="287" t="str">
        <f>IF(Tableau3384[[#This Row],[Date du paiement]]="",$B$4-Tableau3384[[#This Row],[Écheance]],"")</f>
        <v/>
      </c>
      <c r="Q403" s="168" t="str">
        <f>IF(Tableau3384[[#This Row],[Date du paiement]]="",IF(Tableau3384[[#This Row],[jours jusqu''à l''écheance]]&gt;0,Tableau3384[[#This Row],[Montant
CHF]],""),"")</f>
        <v/>
      </c>
      <c r="R403" s="298" t="str">
        <f>IF(Tableau3384[[#This Row],[Date du paiement]]="",IF(Tableau3384[[#This Row],[jours jusqu''à l''écheance]]-($B$4-$B$11-1)&gt;0,Tableau3384[[#This Row],[Montant
CHF]],""),"")</f>
        <v/>
      </c>
      <c r="S403" s="142"/>
      <c r="T403" s="168" t="str">
        <f>IF(Tableau3384[[#This Row],[Paiements prevus]]="oui",Tableau3384[[#This Row],[Montant prevu à payer CH]],"")</f>
        <v/>
      </c>
      <c r="U403" s="130"/>
      <c r="V403" s="192" t="s">
        <v>738</v>
      </c>
      <c r="W403" s="68"/>
      <c r="X403" s="187">
        <v>45491</v>
      </c>
      <c r="Y403" s="181" t="s">
        <v>58</v>
      </c>
      <c r="Z403" s="120" t="str">
        <f>IF(Tableau3384[[#This Row],[Méthode du paiement]]="Mastercard","OUI","")</f>
        <v/>
      </c>
      <c r="AA403" s="6" t="s">
        <v>26</v>
      </c>
      <c r="AB403" s="6" t="s">
        <v>1186</v>
      </c>
    </row>
    <row r="404" spans="1:28" hidden="1" x14ac:dyDescent="0.25">
      <c r="A404" s="9" t="s">
        <v>798</v>
      </c>
      <c r="B404" s="21">
        <v>45461</v>
      </c>
      <c r="C404" s="21">
        <v>45462</v>
      </c>
      <c r="D404" s="22" t="s">
        <v>777</v>
      </c>
      <c r="E404" s="183">
        <v>68.5</v>
      </c>
      <c r="F404" s="88">
        <v>8.1</v>
      </c>
      <c r="G404" s="80"/>
      <c r="H404" s="136">
        <f>Tableau3384[[#This Row],[Montant
CHF]]+Tableau3384[[#This Row],[Abzug/Spesen
CHF]]</f>
        <v>68.5</v>
      </c>
      <c r="I404" s="39"/>
      <c r="J404" s="40"/>
      <c r="K404" s="189"/>
      <c r="L404" s="298"/>
      <c r="M404" s="81"/>
      <c r="N404" s="21">
        <v>45491</v>
      </c>
      <c r="O404" s="282" t="str">
        <f>IF(Tableau3384[[#This Row],[Date du paiement]]&gt;0,"",Tableau3384[[#This Row],[Montant
CHF]])</f>
        <v/>
      </c>
      <c r="P404" s="287" t="str">
        <f>IF(Tableau3384[[#This Row],[Date du paiement]]="",$B$4-Tableau3384[[#This Row],[Écheance]],"")</f>
        <v/>
      </c>
      <c r="Q404" s="168" t="str">
        <f>IF(Tableau3384[[#This Row],[Date du paiement]]="",IF(Tableau3384[[#This Row],[jours jusqu''à l''écheance]]&gt;0,Tableau3384[[#This Row],[Montant
CHF]],""),"")</f>
        <v/>
      </c>
      <c r="R404" s="298" t="str">
        <f>IF(Tableau3384[[#This Row],[Date du paiement]]="",IF(Tableau3384[[#This Row],[jours jusqu''à l''écheance]]-($B$4-$B$11-1)&gt;0,Tableau3384[[#This Row],[Montant
CHF]],""),"")</f>
        <v/>
      </c>
      <c r="S404" s="142"/>
      <c r="T404" s="168" t="str">
        <f>IF(Tableau3384[[#This Row],[Paiements prevus]]="oui",Tableau3384[[#This Row],[Montant prevu à payer CH]],"")</f>
        <v/>
      </c>
      <c r="U404" s="130"/>
      <c r="V404" s="73" t="s">
        <v>738</v>
      </c>
      <c r="W404" s="68"/>
      <c r="X404" s="23">
        <v>45488</v>
      </c>
      <c r="Y404" s="7" t="s">
        <v>58</v>
      </c>
      <c r="Z404" s="120" t="str">
        <f>IF(Tableau3384[[#This Row],[Méthode du paiement]]="Mastercard","OUI","")</f>
        <v/>
      </c>
      <c r="AA404" s="6" t="s">
        <v>14</v>
      </c>
      <c r="AB404" s="6" t="s">
        <v>831</v>
      </c>
    </row>
    <row r="405" spans="1:28" hidden="1" x14ac:dyDescent="0.25">
      <c r="A405" s="9" t="s">
        <v>1052</v>
      </c>
      <c r="B405" s="21">
        <v>45461</v>
      </c>
      <c r="C405" s="21">
        <v>45469</v>
      </c>
      <c r="D405" s="22" t="s">
        <v>400</v>
      </c>
      <c r="E405" s="183">
        <v>43.39</v>
      </c>
      <c r="F405" s="88" t="s">
        <v>0</v>
      </c>
      <c r="G405" s="80"/>
      <c r="H405" s="136">
        <f>Tableau3384[[#This Row],[Montant
CHF]]+Tableau3384[[#This Row],[Abzug/Spesen
CHF]]</f>
        <v>43.39</v>
      </c>
      <c r="I405" s="39"/>
      <c r="J405" s="40"/>
      <c r="K405" s="189"/>
      <c r="L405" s="298"/>
      <c r="M405" s="81"/>
      <c r="N405" s="185">
        <v>45468</v>
      </c>
      <c r="O405" s="282" t="str">
        <f>IF(Tableau3384[[#This Row],[Date du paiement]]&gt;0,"",Tableau3384[[#This Row],[Montant
CHF]])</f>
        <v/>
      </c>
      <c r="P405" s="287" t="str">
        <f>IF(Tableau3384[[#This Row],[Date du paiement]]="",$B$4-Tableau3384[[#This Row],[Écheance]],"")</f>
        <v/>
      </c>
      <c r="Q405" s="168" t="str">
        <f>IF(Tableau3384[[#This Row],[Date du paiement]]="",IF(Tableau3384[[#This Row],[jours jusqu''à l''écheance]]&gt;0,Tableau3384[[#This Row],[Montant
CHF]],""),"")</f>
        <v/>
      </c>
      <c r="R405" s="298" t="str">
        <f>IF(Tableau3384[[#This Row],[Date du paiement]]="",IF(Tableau3384[[#This Row],[jours jusqu''à l''écheance]]&gt;0,Tableau3384[[#This Row],[Montant
CHF]],""),"")</f>
        <v/>
      </c>
      <c r="S405" s="142"/>
      <c r="T405" s="168" t="str">
        <f>IF(Tableau3384[[#This Row],[Paiements prevus]]="oui",Tableau3384[[#This Row],[Montant prevu à payer CH]],"")</f>
        <v/>
      </c>
      <c r="U405" s="130"/>
      <c r="V405" s="73" t="s">
        <v>1151</v>
      </c>
      <c r="W405" s="68"/>
      <c r="X405" s="23">
        <v>45481</v>
      </c>
      <c r="Y405" s="7" t="s">
        <v>58</v>
      </c>
      <c r="Z405" s="120" t="str">
        <f>IF(Tableau3384[[#This Row],[Méthode du paiement]]="Mastercard","OUI","")</f>
        <v/>
      </c>
      <c r="AA405" s="6" t="s">
        <v>11</v>
      </c>
      <c r="AB405" s="6" t="s">
        <v>1150</v>
      </c>
    </row>
    <row r="406" spans="1:28" hidden="1" x14ac:dyDescent="0.25">
      <c r="A406" s="9" t="s">
        <v>1058</v>
      </c>
      <c r="B406" s="21">
        <v>45461</v>
      </c>
      <c r="C406" s="21">
        <v>45469</v>
      </c>
      <c r="D406" s="22" t="s">
        <v>1059</v>
      </c>
      <c r="E406" s="183">
        <v>3102.6</v>
      </c>
      <c r="F406" s="88">
        <v>2.6</v>
      </c>
      <c r="G406" s="80"/>
      <c r="H406" s="136">
        <f>Tableau3384[[#This Row],[Montant
CHF]]+Tableau3384[[#This Row],[Abzug/Spesen
CHF]]</f>
        <v>3102.6</v>
      </c>
      <c r="I406" s="39"/>
      <c r="J406" s="40"/>
      <c r="K406" s="189"/>
      <c r="L406" s="298"/>
      <c r="M406" s="194"/>
      <c r="N406" s="185">
        <v>45491</v>
      </c>
      <c r="O406" s="282" t="str">
        <f>IF(Tableau3384[[#This Row],[Date du paiement]]&gt;0,"",Tableau3384[[#This Row],[Montant
CHF]])</f>
        <v/>
      </c>
      <c r="P406" s="287" t="str">
        <f>IF(Tableau3384[[#This Row],[Date du paiement]]="",$B$4-Tableau3384[[#This Row],[Écheance]],"")</f>
        <v/>
      </c>
      <c r="Q406" s="168" t="str">
        <f>IF(Tableau3384[[#This Row],[Date du paiement]]="",IF(Tableau3384[[#This Row],[jours jusqu''à l''écheance]]&gt;0,Tableau3384[[#This Row],[Montant
CHF]],""),"")</f>
        <v/>
      </c>
      <c r="R406" s="298" t="str">
        <f>IF(Tableau3384[[#This Row],[Date du paiement]]="",IF(Tableau3384[[#This Row],[jours jusqu''à l''écheance]]-($B$4-$B$11-1)&gt;0,Tableau3384[[#This Row],[Montant
CHF]],""),"")</f>
        <v/>
      </c>
      <c r="S406" s="142"/>
      <c r="T406" s="168" t="str">
        <f>IF(Tableau3384[[#This Row],[Paiements prevus]]="oui",Tableau3384[[#This Row],[Montant prevu à payer CH]],"")</f>
        <v/>
      </c>
      <c r="U406" s="177"/>
      <c r="V406" s="73" t="s">
        <v>738</v>
      </c>
      <c r="W406" s="190"/>
      <c r="X406" s="23">
        <v>45491</v>
      </c>
      <c r="Y406" s="7" t="s">
        <v>58</v>
      </c>
      <c r="Z406" s="120" t="str">
        <f>IF(Tableau3384[[#This Row],[Méthode du paiement]]="Mastercard","OUI","")</f>
        <v/>
      </c>
      <c r="AA406" s="6" t="s">
        <v>14</v>
      </c>
      <c r="AB406" s="6" t="s">
        <v>1060</v>
      </c>
    </row>
    <row r="407" spans="1:28" hidden="1" x14ac:dyDescent="0.25">
      <c r="A407" s="9" t="s">
        <v>810</v>
      </c>
      <c r="B407" s="21">
        <v>45462</v>
      </c>
      <c r="C407" s="21">
        <v>45462</v>
      </c>
      <c r="D407" s="22" t="s">
        <v>196</v>
      </c>
      <c r="E407" s="11">
        <v>316.55</v>
      </c>
      <c r="F407" s="88">
        <v>8.1</v>
      </c>
      <c r="G407" s="193"/>
      <c r="H407" s="136">
        <f>Tableau3384[[#This Row],[Montant
CHF]]+Tableau3384[[#This Row],[Abzug/Spesen
CHF]]</f>
        <v>316.55</v>
      </c>
      <c r="I407" s="39"/>
      <c r="J407" s="40"/>
      <c r="K407" s="189"/>
      <c r="L407" s="298"/>
      <c r="M407" s="81"/>
      <c r="N407" s="185">
        <v>45472</v>
      </c>
      <c r="O407" s="282" t="str">
        <f>IF(Tableau3384[[#This Row],[Date du paiement]]&gt;0,"",Tableau3384[[#This Row],[Montant
CHF]])</f>
        <v/>
      </c>
      <c r="P407" s="287" t="str">
        <f>IF(Tableau3384[[#This Row],[Date du paiement]]="",$B$4-Tableau3384[[#This Row],[Écheance]],"")</f>
        <v/>
      </c>
      <c r="Q407" s="168" t="str">
        <f>IF(Tableau3384[[#This Row],[Date du paiement]]="",IF(Tableau3384[[#This Row],[jours jusqu''à l''écheance]]&gt;0,Tableau3384[[#This Row],[Montant
CHF]],""),"")</f>
        <v/>
      </c>
      <c r="R407" s="298" t="str">
        <f>IF(Tableau3384[[#This Row],[Date du paiement]]="",IF(Tableau3384[[#This Row],[jours jusqu''à l''écheance]]-($B$4-$B$11-1)&gt;0,Tableau3384[[#This Row],[Montant
CHF]],""),"")</f>
        <v/>
      </c>
      <c r="S407" s="142"/>
      <c r="T407" s="95" t="str">
        <f>IF(Tableau3384[[#This Row],[Paiements prevus]]="oui",Tableau3384[[#This Row],[Montant prevu à payer CH]],"")</f>
        <v/>
      </c>
      <c r="U407" s="130"/>
      <c r="V407" s="73" t="s">
        <v>735</v>
      </c>
      <c r="W407" s="68"/>
      <c r="X407" s="23">
        <v>45492</v>
      </c>
      <c r="Y407" s="7" t="s">
        <v>58</v>
      </c>
      <c r="Z407" s="120" t="str">
        <f>IF(Tableau3384[[#This Row],[Méthode du paiement]]="Mastercard","OUI","")</f>
        <v/>
      </c>
      <c r="AA407" s="6" t="s">
        <v>4</v>
      </c>
      <c r="AB407" s="6" t="s">
        <v>811</v>
      </c>
    </row>
    <row r="408" spans="1:28" hidden="1" x14ac:dyDescent="0.25">
      <c r="A408" s="9" t="s">
        <v>801</v>
      </c>
      <c r="B408" s="21">
        <v>45462</v>
      </c>
      <c r="C408" s="21">
        <v>45463</v>
      </c>
      <c r="D408" s="22" t="s">
        <v>399</v>
      </c>
      <c r="E408" s="11">
        <f>Tableau3384[[#This Row],[Montant
USD]]*Tableau3384[[#This Row],[Taux 
de change]]</f>
        <v>6098.9788805999997</v>
      </c>
      <c r="F408" s="88">
        <v>0</v>
      </c>
      <c r="G408" s="80"/>
      <c r="H408" s="136">
        <f>Tableau3384[[#This Row],[Montant
CHF]]+Tableau3384[[#This Row],[Abzug/Spesen
CHF]]</f>
        <v>6098.9788805999997</v>
      </c>
      <c r="I408" s="39">
        <v>0.90202899999999997</v>
      </c>
      <c r="J408" s="40"/>
      <c r="K408" s="189">
        <f>22538*0.3</f>
        <v>6761.4</v>
      </c>
      <c r="L408" s="298" t="s">
        <v>802</v>
      </c>
      <c r="M408" s="81" t="s">
        <v>816</v>
      </c>
      <c r="N408" s="185">
        <v>45462</v>
      </c>
      <c r="O408" s="282" t="str">
        <f>IF(Tableau3384[[#This Row],[Date du paiement]]&gt;0,"",Tableau3384[[#This Row],[Montant
CHF]])</f>
        <v/>
      </c>
      <c r="P408" s="287" t="str">
        <f>IF(Tableau3384[[#This Row],[Date du paiement]]="",$B$4-Tableau3384[[#This Row],[Écheance]],"")</f>
        <v/>
      </c>
      <c r="Q408" s="168" t="str">
        <f>IF(Tableau3384[[#This Row],[Date du paiement]]="",IF(Tableau3384[[#This Row],[jours jusqu''à l''écheance]]&gt;0,Tableau3384[[#This Row],[Montant
CHF]],""),"")</f>
        <v/>
      </c>
      <c r="R408" s="298" t="str">
        <f>IF(Tableau3384[[#This Row],[Date du paiement]]="",IF(Tableau3384[[#This Row],[jours jusqu''à l''écheance]]&gt;0,Tableau3384[[#This Row],[Montant
CHF]],""),"")</f>
        <v/>
      </c>
      <c r="S408" s="142"/>
      <c r="T408" s="168" t="str">
        <f>IF(Tableau3384[[#This Row],[Paiements prevus]]="oui",Tableau3384[[#This Row],[Montant prevu à payer CH]],"")</f>
        <v/>
      </c>
      <c r="U408" s="130"/>
      <c r="V408" s="73" t="s">
        <v>791</v>
      </c>
      <c r="W408" s="68" t="s">
        <v>1157</v>
      </c>
      <c r="X408" s="23">
        <v>45483</v>
      </c>
      <c r="Y408" s="7" t="s">
        <v>58</v>
      </c>
      <c r="Z408" s="120" t="str">
        <f>IF(Tableau3384[[#This Row],[Méthode du paiement]]="Mastercard","OUI","")</f>
        <v/>
      </c>
      <c r="AA408" s="6" t="s">
        <v>14</v>
      </c>
      <c r="AB408" s="6" t="s">
        <v>803</v>
      </c>
    </row>
    <row r="409" spans="1:28" hidden="1" x14ac:dyDescent="0.25">
      <c r="A409" s="9" t="s">
        <v>800</v>
      </c>
      <c r="B409" s="21">
        <v>45462</v>
      </c>
      <c r="C409" s="21">
        <v>45463</v>
      </c>
      <c r="D409" s="22" t="s">
        <v>399</v>
      </c>
      <c r="E409" s="11">
        <f>Tableau3384[[#This Row],[Montant
USD]]*Tableau3384[[#This Row],[Taux 
de change]]</f>
        <v>13741.418600000001</v>
      </c>
      <c r="F409" s="88">
        <v>0</v>
      </c>
      <c r="G409" s="80"/>
      <c r="H409" s="136">
        <f>Tableau3384[[#This Row],[Montant
CHF]]+Tableau3384[[#This Row],[Abzug/Spesen
CHF]]</f>
        <v>13741.418600000001</v>
      </c>
      <c r="I409" s="39">
        <v>0.871</v>
      </c>
      <c r="J409" s="40"/>
      <c r="K409" s="189">
        <f>22538-6761.4</f>
        <v>15776.6</v>
      </c>
      <c r="L409" s="298" t="s">
        <v>802</v>
      </c>
      <c r="M409" s="81" t="s">
        <v>1160</v>
      </c>
      <c r="N409" s="185">
        <v>45574</v>
      </c>
      <c r="O409" s="282" t="str">
        <f>IF(Tableau3384[[#This Row],[Date du paiement]]&gt;0,"",Tableau3384[[#This Row],[Montant
CHF]])</f>
        <v/>
      </c>
      <c r="P409" s="287" t="str">
        <f>IF(Tableau3384[[#This Row],[Date du paiement]]="",$B$4-Tableau3384[[#This Row],[Écheance]],"")</f>
        <v/>
      </c>
      <c r="Q409" s="168" t="str">
        <f>IF(Tableau3384[[#This Row],[Date du paiement]]="",IF(Tableau3384[[#This Row],[jours jusqu''à l''écheance]]&gt;0,Tableau3384[[#This Row],[Montant
CHF]],""),"")</f>
        <v/>
      </c>
      <c r="R409" s="298" t="str">
        <f>IF(Tableau3384[[#This Row],[Date du paiement]]="",IF(Tableau3384[[#This Row],[jours jusqu''à l''écheance]]-($B$4-$B$11-1)&gt;0,Tableau3384[[#This Row],[Montant
CHF]],""),"")</f>
        <v/>
      </c>
      <c r="S409" s="142"/>
      <c r="T409" s="168" t="str">
        <f>IF(Tableau3384[[#This Row],[Paiements prevus]]="oui",Tableau3384[[#This Row],[Montant prevu à payer CH]],"")</f>
        <v/>
      </c>
      <c r="U409" s="177"/>
      <c r="V409" s="73" t="s">
        <v>791</v>
      </c>
      <c r="W409" s="68" t="s">
        <v>1158</v>
      </c>
      <c r="X409" s="23">
        <v>45590</v>
      </c>
      <c r="Y409" s="7" t="s">
        <v>58</v>
      </c>
      <c r="Z409" s="120" t="str">
        <f>IF(Tableau3384[[#This Row],[Méthode du paiement]]="Mastercard","OUI","")</f>
        <v/>
      </c>
      <c r="AA409" s="6" t="s">
        <v>14</v>
      </c>
      <c r="AB409" s="6" t="s">
        <v>803</v>
      </c>
    </row>
    <row r="410" spans="1:28" hidden="1" x14ac:dyDescent="0.25">
      <c r="A410" s="9" t="s">
        <v>1053</v>
      </c>
      <c r="B410" s="21">
        <v>45462</v>
      </c>
      <c r="C410" s="21">
        <v>45469</v>
      </c>
      <c r="D410" s="22" t="s">
        <v>380</v>
      </c>
      <c r="E410" s="11">
        <v>756.7</v>
      </c>
      <c r="F410" s="88">
        <v>8.1</v>
      </c>
      <c r="G410" s="80"/>
      <c r="H410" s="136">
        <f>Tableau3384[[#This Row],[Montant
CHF]]+Tableau3384[[#This Row],[Abzug/Spesen
CHF]]</f>
        <v>756.7</v>
      </c>
      <c r="I410" s="39"/>
      <c r="J410" s="40"/>
      <c r="K410" s="189"/>
      <c r="L410" s="298"/>
      <c r="M410" s="81" t="s">
        <v>1173</v>
      </c>
      <c r="N410" s="185">
        <v>45472</v>
      </c>
      <c r="O410" s="282" t="str">
        <f>IF(Tableau3384[[#This Row],[Date du paiement]]&gt;0,"",Tableau3384[[#This Row],[Montant
CHF]])</f>
        <v/>
      </c>
      <c r="P410" s="287" t="str">
        <f>IF(Tableau3384[[#This Row],[Date du paiement]]="",$B$4-Tableau3384[[#This Row],[Écheance]],"")</f>
        <v/>
      </c>
      <c r="Q410" s="168" t="str">
        <f>IF(Tableau3384[[#This Row],[Date du paiement]]="",IF(Tableau3384[[#This Row],[jours jusqu''à l''écheance]]&gt;0,Tableau3384[[#This Row],[Montant
CHF]],""),"")</f>
        <v/>
      </c>
      <c r="R410" s="298" t="str">
        <f>IF(Tableau3384[[#This Row],[Date du paiement]]="",IF(Tableau3384[[#This Row],[jours jusqu''à l''écheance]]-($B$4-$B$11-1)&gt;0,Tableau3384[[#This Row],[Montant
CHF]],""),"")</f>
        <v/>
      </c>
      <c r="S410" s="142"/>
      <c r="T410" s="168" t="str">
        <f>IF(Tableau3384[[#This Row],[Paiements prevus]]="oui",Tableau3384[[#This Row],[Montant prevu à payer CH]],"")</f>
        <v/>
      </c>
      <c r="U410" s="130"/>
      <c r="V410" s="73" t="s">
        <v>738</v>
      </c>
      <c r="W410" s="68"/>
      <c r="X410" s="23">
        <v>45492</v>
      </c>
      <c r="Y410" s="7" t="s">
        <v>58</v>
      </c>
      <c r="Z410" s="120" t="str">
        <f>IF(Tableau3384[[#This Row],[Méthode du paiement]]="Mastercard","OUI","")</f>
        <v/>
      </c>
      <c r="AA410" s="6" t="s">
        <v>14</v>
      </c>
      <c r="AB410" s="6" t="s">
        <v>1054</v>
      </c>
    </row>
    <row r="411" spans="1:28" hidden="1" x14ac:dyDescent="0.25">
      <c r="A411" s="9" t="s">
        <v>808</v>
      </c>
      <c r="B411" s="21">
        <v>45463</v>
      </c>
      <c r="C411" s="21">
        <v>45463</v>
      </c>
      <c r="D411" s="22" t="s">
        <v>807</v>
      </c>
      <c r="E411" s="183">
        <v>5405</v>
      </c>
      <c r="F411" s="195">
        <v>8.1</v>
      </c>
      <c r="G411" s="80"/>
      <c r="H411" s="136">
        <f>Tableau3384[[#This Row],[Montant
CHF]]+Tableau3384[[#This Row],[Abzug/Spesen
CHF]]</f>
        <v>5405</v>
      </c>
      <c r="I411" s="39"/>
      <c r="J411" s="40"/>
      <c r="K411" s="189"/>
      <c r="L411" s="298"/>
      <c r="M411" s="81" t="s">
        <v>1374</v>
      </c>
      <c r="N411" s="21">
        <v>45493</v>
      </c>
      <c r="O411" s="282" t="str">
        <f>IF(Tableau3384[[#This Row],[Date du paiement]]&gt;0,"",Tableau3384[[#This Row],[Montant
CHF]])</f>
        <v/>
      </c>
      <c r="P411" s="287" t="str">
        <f>IF(Tableau3384[[#This Row],[Date du paiement]]="",$B$4-Tableau3384[[#This Row],[Écheance]],"")</f>
        <v/>
      </c>
      <c r="Q411" s="168" t="str">
        <f>IF(Tableau3384[[#This Row],[Date du paiement]]="",IF(Tableau3384[[#This Row],[jours jusqu''à l''écheance]]&gt;0,Tableau3384[[#This Row],[Montant
CHF]],""),"")</f>
        <v/>
      </c>
      <c r="R411" s="298" t="str">
        <f>IF(Tableau3384[[#This Row],[Date du paiement]]="",IF(Tableau3384[[#This Row],[jours jusqu''à l''écheance]]-($B$4-$B$11-1)&gt;0,Tableau3384[[#This Row],[Montant
CHF]],""),"")</f>
        <v/>
      </c>
      <c r="S411" s="142"/>
      <c r="T411" s="168" t="str">
        <f>IF(Tableau3384[[#This Row],[Paiements prevus]]="oui",Tableau3384[[#This Row],[Montant prevu à payer CH]],"")</f>
        <v/>
      </c>
      <c r="U411" s="130"/>
      <c r="V411" s="73" t="s">
        <v>738</v>
      </c>
      <c r="W411" s="68"/>
      <c r="X411" s="23">
        <v>45512</v>
      </c>
      <c r="Y411" s="7" t="s">
        <v>1375</v>
      </c>
      <c r="Z411" s="120" t="str">
        <f>IF(Tableau3384[[#This Row],[Méthode du paiement]]="Mastercard","OUI","")</f>
        <v/>
      </c>
      <c r="AA411" s="6" t="s">
        <v>14</v>
      </c>
      <c r="AB411" s="6" t="s">
        <v>809</v>
      </c>
    </row>
    <row r="412" spans="1:28" hidden="1" x14ac:dyDescent="0.25">
      <c r="A412" s="9" t="s">
        <v>817</v>
      </c>
      <c r="B412" s="21">
        <v>45463</v>
      </c>
      <c r="C412" s="21">
        <v>45467</v>
      </c>
      <c r="D412" s="22" t="s">
        <v>60</v>
      </c>
      <c r="E412" s="11">
        <f>Tableau3384[[#This Row],[Montant
EUR]]*Tableau3384[[#This Row],[Taux 
de change]]</f>
        <v>1657.593756</v>
      </c>
      <c r="F412" s="88">
        <v>0</v>
      </c>
      <c r="G412" s="80"/>
      <c r="H412" s="136">
        <f>Tableau3384[[#This Row],[Montant
CHF]]+Tableau3384[[#This Row],[Abzug/Spesen
CHF]]</f>
        <v>1657.593756</v>
      </c>
      <c r="I412" s="39">
        <v>0.96259799999999995</v>
      </c>
      <c r="J412" s="40">
        <v>1722</v>
      </c>
      <c r="K412" s="189"/>
      <c r="L412" s="298"/>
      <c r="M412" s="81"/>
      <c r="N412" s="21">
        <v>45493</v>
      </c>
      <c r="O412" s="282" t="str">
        <f>IF(Tableau3384[[#This Row],[Date du paiement]]&gt;0,"",Tableau3384[[#This Row],[Montant
CHF]])</f>
        <v/>
      </c>
      <c r="P412" s="287" t="str">
        <f>IF(Tableau3384[[#This Row],[Date du paiement]]="",$B$4-Tableau3384[[#This Row],[Écheance]],"")</f>
        <v/>
      </c>
      <c r="Q412" s="168" t="str">
        <f>IF(Tableau3384[[#This Row],[Date du paiement]]="",IF(Tableau3384[[#This Row],[jours jusqu''à l''écheance]]&gt;0,Tableau3384[[#This Row],[Montant
CHF]],""),"")</f>
        <v/>
      </c>
      <c r="R412" s="298" t="str">
        <f>IF(Tableau3384[[#This Row],[Date du paiement]]="",IF(Tableau3384[[#This Row],[jours jusqu''à l''écheance]]-($B$4-$B$11-1)&gt;0,Tableau3384[[#This Row],[Montant
CHF]],""),"")</f>
        <v/>
      </c>
      <c r="S412" s="142"/>
      <c r="T412" s="168" t="str">
        <f>IF(Tableau3384[[#This Row],[Paiements prevus]]="oui",Tableau3384[[#This Row],[Montant prevu à payer CH]],"")</f>
        <v/>
      </c>
      <c r="U412" s="177"/>
      <c r="V412" s="73" t="s">
        <v>737</v>
      </c>
      <c r="W412" s="68"/>
      <c r="X412" s="23">
        <v>45499</v>
      </c>
      <c r="Y412" s="7" t="s">
        <v>58</v>
      </c>
      <c r="Z412" s="120" t="str">
        <f>IF(Tableau3384[[#This Row],[Méthode du paiement]]="Mastercard","OUI","")</f>
        <v/>
      </c>
      <c r="AA412" s="6" t="s">
        <v>14</v>
      </c>
      <c r="AB412" s="6" t="s">
        <v>818</v>
      </c>
    </row>
    <row r="413" spans="1:28" hidden="1" x14ac:dyDescent="0.25">
      <c r="A413" s="9" t="s">
        <v>819</v>
      </c>
      <c r="B413" s="21">
        <v>45463</v>
      </c>
      <c r="C413" s="21">
        <v>45467</v>
      </c>
      <c r="D413" s="22" t="s">
        <v>362</v>
      </c>
      <c r="E413" s="11">
        <v>1056.95</v>
      </c>
      <c r="F413" s="88">
        <v>8.1</v>
      </c>
      <c r="G413" s="193"/>
      <c r="H413" s="136">
        <f>Tableau3384[[#This Row],[Montant
CHF]]+Tableau3384[[#This Row],[Abzug/Spesen
CHF]]</f>
        <v>1056.95</v>
      </c>
      <c r="I413" s="39"/>
      <c r="J413" s="40"/>
      <c r="K413" s="189"/>
      <c r="L413" s="298"/>
      <c r="M413" s="81" t="s">
        <v>1105</v>
      </c>
      <c r="N413" s="185">
        <v>45493</v>
      </c>
      <c r="O413" s="282" t="str">
        <f>IF(Tableau3384[[#This Row],[Date du paiement]]&gt;0,"",Tableau3384[[#This Row],[Montant
CHF]])</f>
        <v/>
      </c>
      <c r="P413" s="287" t="str">
        <f>IF(Tableau3384[[#This Row],[Date du paiement]]="",$B$4-Tableau3384[[#This Row],[Écheance]],"")</f>
        <v/>
      </c>
      <c r="Q413" s="168" t="str">
        <f>IF(Tableau3384[[#This Row],[Date du paiement]]="",IF(Tableau3384[[#This Row],[jours jusqu''à l''écheance]]&gt;0,Tableau3384[[#This Row],[Montant
CHF]],""),"")</f>
        <v/>
      </c>
      <c r="R413" s="298" t="str">
        <f>IF(Tableau3384[[#This Row],[Date du paiement]]="",IF(Tableau3384[[#This Row],[jours jusqu''à l''écheance]]-($B$4-$B$11-1)&gt;0,Tableau3384[[#This Row],[Montant
CHF]],""),"")</f>
        <v/>
      </c>
      <c r="S413" s="142"/>
      <c r="T413" s="95" t="str">
        <f>IF(Tableau3384[[#This Row],[Paiements prevus]]="oui",Tableau3384[[#This Row],[Montant prevu à payer CH]],"")</f>
        <v/>
      </c>
      <c r="U413" s="130"/>
      <c r="V413" s="73" t="s">
        <v>735</v>
      </c>
      <c r="W413" s="68"/>
      <c r="X413" s="23">
        <v>45499</v>
      </c>
      <c r="Y413" s="7" t="s">
        <v>58</v>
      </c>
      <c r="Z413" s="120" t="str">
        <f>IF(Tableau3384[[#This Row],[Méthode du paiement]]="Mastercard","OUI","")</f>
        <v/>
      </c>
      <c r="AA413" s="6" t="s">
        <v>4</v>
      </c>
      <c r="AB413" s="6" t="s">
        <v>1097</v>
      </c>
    </row>
    <row r="414" spans="1:28" hidden="1" x14ac:dyDescent="0.25">
      <c r="A414" s="9" t="s">
        <v>1055</v>
      </c>
      <c r="B414" s="21">
        <v>45463</v>
      </c>
      <c r="C414" s="21">
        <v>45469</v>
      </c>
      <c r="D414" s="22" t="s">
        <v>1056</v>
      </c>
      <c r="E414" s="11">
        <v>41.9</v>
      </c>
      <c r="F414" s="88">
        <v>8.1</v>
      </c>
      <c r="G414" s="193"/>
      <c r="H414" s="136">
        <f>Tableau3384[[#This Row],[Montant
CHF]]+Tableau3384[[#This Row],[Abzug/Spesen
CHF]]</f>
        <v>41.9</v>
      </c>
      <c r="I414" s="39"/>
      <c r="J414" s="40"/>
      <c r="K414" s="189"/>
      <c r="L414" s="298"/>
      <c r="M414" s="81"/>
      <c r="N414" s="185">
        <v>45477</v>
      </c>
      <c r="O414" s="282" t="str">
        <f>IF(Tableau3384[[#This Row],[Date du paiement]]&gt;0,"",Tableau3384[[#This Row],[Montant
CHF]])</f>
        <v/>
      </c>
      <c r="P414" s="287" t="str">
        <f>IF(Tableau3384[[#This Row],[Date du paiement]]="",$B$4-Tableau3384[[#This Row],[Écheance]],"")</f>
        <v/>
      </c>
      <c r="Q414" s="168" t="str">
        <f>IF(Tableau3384[[#This Row],[Date du paiement]]="",IF(Tableau3384[[#This Row],[jours jusqu''à l''écheance]]&gt;0,Tableau3384[[#This Row],[Montant
CHF]],""),"")</f>
        <v/>
      </c>
      <c r="R414" s="298" t="str">
        <f>IF(Tableau3384[[#This Row],[Date du paiement]]="",IF(Tableau3384[[#This Row],[jours jusqu''à l''écheance]]-($B$4-$B$11-1)&gt;0,Tableau3384[[#This Row],[Montant
CHF]],""),"")</f>
        <v/>
      </c>
      <c r="S414" s="142"/>
      <c r="T414" s="168" t="str">
        <f>IF(Tableau3384[[#This Row],[Paiements prevus]]="oui",Tableau3384[[#This Row],[Montant prevu à payer CH]],"")</f>
        <v/>
      </c>
      <c r="U414" s="130"/>
      <c r="V414" s="73" t="s">
        <v>738</v>
      </c>
      <c r="W414" s="68"/>
      <c r="X414" s="23">
        <v>45495</v>
      </c>
      <c r="Y414" s="7" t="s">
        <v>58</v>
      </c>
      <c r="Z414" s="120" t="str">
        <f>IF(Tableau3384[[#This Row],[Méthode du paiement]]="Mastercard","OUI","")</f>
        <v/>
      </c>
      <c r="AA414" s="6" t="s">
        <v>14</v>
      </c>
      <c r="AB414" s="6" t="s">
        <v>1057</v>
      </c>
    </row>
    <row r="415" spans="1:28" hidden="1" x14ac:dyDescent="0.25">
      <c r="A415" s="9" t="s">
        <v>1185</v>
      </c>
      <c r="B415" s="21">
        <v>45463</v>
      </c>
      <c r="C415" s="21">
        <v>45485</v>
      </c>
      <c r="D415" s="22" t="s">
        <v>25</v>
      </c>
      <c r="E415" s="183">
        <v>40</v>
      </c>
      <c r="F415" s="88">
        <v>0</v>
      </c>
      <c r="G415" s="80"/>
      <c r="H415" s="136">
        <f>Tableau3384[[#This Row],[Montant
CHF]]+Tableau3384[[#This Row],[Abzug/Spesen
CHF]]</f>
        <v>40</v>
      </c>
      <c r="I415" s="39"/>
      <c r="J415" s="40"/>
      <c r="K415" s="189"/>
      <c r="L415" s="298"/>
      <c r="M415" s="81" t="s">
        <v>1173</v>
      </c>
      <c r="N415" s="21">
        <v>45483</v>
      </c>
      <c r="O415" s="282" t="str">
        <f>IF(Tableau3384[[#This Row],[Date du paiement]]&gt;0,"",Tableau3384[[#This Row],[Montant
CHF]])</f>
        <v/>
      </c>
      <c r="P415" s="287" t="str">
        <f>IF(Tableau3384[[#This Row],[Date du paiement]]="",$B$4-Tableau3384[[#This Row],[Écheance]],"")</f>
        <v/>
      </c>
      <c r="Q415" s="168" t="str">
        <f>IF(Tableau3384[[#This Row],[Date du paiement]]="",IF(Tableau3384[[#This Row],[jours jusqu''à l''écheance]]&gt;0,Tableau3384[[#This Row],[Montant
CHF]],""),"")</f>
        <v/>
      </c>
      <c r="R415" s="298" t="str">
        <f>IF(Tableau3384[[#This Row],[Date du paiement]]="",IF(Tableau3384[[#This Row],[jours jusqu''à l''écheance]]-($B$4-$B$11-1)&gt;0,Tableau3384[[#This Row],[Montant
CHF]],""),"")</f>
        <v/>
      </c>
      <c r="S415" s="142"/>
      <c r="T415" s="168" t="str">
        <f>IF(Tableau3384[[#This Row],[Paiements prevus]]="oui",Tableau3384[[#This Row],[Montant prevu à payer CH]],"")</f>
        <v/>
      </c>
      <c r="U415" s="177"/>
      <c r="V415" s="73" t="s">
        <v>738</v>
      </c>
      <c r="W415" s="68"/>
      <c r="X415" s="23">
        <v>45495</v>
      </c>
      <c r="Y415" s="7" t="s">
        <v>58</v>
      </c>
      <c r="Z415" s="120" t="str">
        <f>IF(Tableau3384[[#This Row],[Méthode du paiement]]="Mastercard","OUI","")</f>
        <v/>
      </c>
      <c r="AA415" s="6" t="s">
        <v>26</v>
      </c>
      <c r="AB415" s="6" t="s">
        <v>1187</v>
      </c>
    </row>
    <row r="416" spans="1:28" hidden="1" x14ac:dyDescent="0.25">
      <c r="A416" s="9" t="s">
        <v>828</v>
      </c>
      <c r="B416" s="21">
        <v>45464</v>
      </c>
      <c r="C416" s="153">
        <v>45467</v>
      </c>
      <c r="D416" s="22" t="s">
        <v>256</v>
      </c>
      <c r="E416" s="11">
        <v>52.5</v>
      </c>
      <c r="F416" s="88">
        <v>8.1</v>
      </c>
      <c r="G416" s="193"/>
      <c r="H416" s="136">
        <f>Tableau3384[[#This Row],[Montant
CHF]]+Tableau3384[[#This Row],[Abzug/Spesen
CHF]]</f>
        <v>52.5</v>
      </c>
      <c r="I416" s="39"/>
      <c r="J416" s="40"/>
      <c r="K416" s="189"/>
      <c r="L416" s="298"/>
      <c r="M416" s="81"/>
      <c r="N416" s="185">
        <v>45494</v>
      </c>
      <c r="O416" s="282" t="str">
        <f>IF(Tableau3384[[#This Row],[Date du paiement]]&gt;0,"",Tableau3384[[#This Row],[Montant
CHF]])</f>
        <v/>
      </c>
      <c r="P416" s="287" t="str">
        <f>IF(Tableau3384[[#This Row],[Date du paiement]]="",$B$4-Tableau3384[[#This Row],[Écheance]],"")</f>
        <v/>
      </c>
      <c r="Q416" s="168" t="str">
        <f>IF(Tableau3384[[#This Row],[Date du paiement]]="",IF(Tableau3384[[#This Row],[jours jusqu''à l''écheance]]&gt;0,Tableau3384[[#This Row],[Montant
CHF]],""),"")</f>
        <v/>
      </c>
      <c r="R416" s="298" t="str">
        <f>IF(Tableau3384[[#This Row],[Date du paiement]]="",IF(Tableau3384[[#This Row],[jours jusqu''à l''écheance]]-($B$4-$B$11-1)&gt;0,Tableau3384[[#This Row],[Montant
CHF]],""),"")</f>
        <v/>
      </c>
      <c r="S416" s="142"/>
      <c r="T416" s="168" t="str">
        <f>IF(Tableau3384[[#This Row],[Paiements prevus]]="oui",Tableau3384[[#This Row],[Montant prevu à payer CH]],"")</f>
        <v/>
      </c>
      <c r="U416" s="177"/>
      <c r="V416" s="73" t="s">
        <v>738</v>
      </c>
      <c r="W416" s="68"/>
      <c r="X416" s="23">
        <v>45499</v>
      </c>
      <c r="Y416" s="7" t="s">
        <v>58</v>
      </c>
      <c r="Z416" s="120" t="str">
        <f>IF(Tableau3384[[#This Row],[Méthode du paiement]]="Mastercard","OUI","")</f>
        <v/>
      </c>
      <c r="AA416" s="6" t="s">
        <v>14</v>
      </c>
      <c r="AB416" s="6" t="s">
        <v>829</v>
      </c>
    </row>
    <row r="417" spans="1:28" s="184" customFormat="1" hidden="1" x14ac:dyDescent="0.25">
      <c r="A417" s="182" t="s">
        <v>825</v>
      </c>
      <c r="B417" s="185">
        <v>45464</v>
      </c>
      <c r="C417" s="185">
        <v>45467</v>
      </c>
      <c r="D417" s="186" t="s">
        <v>826</v>
      </c>
      <c r="E417" s="183">
        <v>337.23</v>
      </c>
      <c r="F417" s="195">
        <v>2.6</v>
      </c>
      <c r="G417" s="193"/>
      <c r="H417" s="136">
        <f>Tableau3384[[#This Row],[Montant
CHF]]+Tableau3384[[#This Row],[Abzug/Spesen
CHF]]</f>
        <v>337.23</v>
      </c>
      <c r="I417" s="188"/>
      <c r="J417" s="189"/>
      <c r="K417" s="189"/>
      <c r="L417" s="298"/>
      <c r="M417" s="194"/>
      <c r="N417" s="185">
        <v>45481</v>
      </c>
      <c r="O417" s="282" t="str">
        <f>IF(Tableau3384[[#This Row],[Date du paiement]]&gt;0,"",Tableau3384[[#This Row],[Montant
CHF]])</f>
        <v/>
      </c>
      <c r="P417" s="287" t="str">
        <f>IF(Tableau3384[[#This Row],[Date du paiement]]="",$B$4-Tableau3384[[#This Row],[Écheance]],"")</f>
        <v/>
      </c>
      <c r="Q417" s="168" t="str">
        <f>IF(Tableau3384[[#This Row],[Date du paiement]]="",IF(Tableau3384[[#This Row],[jours jusqu''à l''écheance]]&gt;0,Tableau3384[[#This Row],[Montant
CHF]],""),"")</f>
        <v/>
      </c>
      <c r="R417" s="298" t="str">
        <f>IF(Tableau3384[[#This Row],[Date du paiement]]="",IF(Tableau3384[[#This Row],[jours jusqu''à l''écheance]]-($B$4-$B$11-1)&gt;0,Tableau3384[[#This Row],[Montant
CHF]],""),"")</f>
        <v/>
      </c>
      <c r="S417" s="142"/>
      <c r="T417" s="168" t="str">
        <f>IF(Tableau3384[[#This Row],[Paiements prevus]]="oui",Tableau3384[[#This Row],[Montant prevu à payer CH]],"")</f>
        <v/>
      </c>
      <c r="U417" s="177"/>
      <c r="V417" s="192" t="s">
        <v>735</v>
      </c>
      <c r="W417" s="190"/>
      <c r="X417" s="187">
        <v>45495</v>
      </c>
      <c r="Y417" s="181" t="s">
        <v>58</v>
      </c>
      <c r="Z417" s="120" t="str">
        <f>IF(Tableau3384[[#This Row],[Méthode du paiement]]="Mastercard","OUI","")</f>
        <v/>
      </c>
      <c r="AA417" s="180" t="s">
        <v>43</v>
      </c>
      <c r="AB417" s="180" t="s">
        <v>827</v>
      </c>
    </row>
    <row r="418" spans="1:28" s="184" customFormat="1" hidden="1" x14ac:dyDescent="0.25">
      <c r="A418" s="182" t="s">
        <v>822</v>
      </c>
      <c r="B418" s="185">
        <v>45464</v>
      </c>
      <c r="C418" s="185">
        <v>45467</v>
      </c>
      <c r="D418" s="186" t="s">
        <v>823</v>
      </c>
      <c r="E418" s="183">
        <f>Tableau3384[[#This Row],[Montant
EUR]]*Tableau3384[[#This Row],[Taux 
de change]]</f>
        <v>4442.9903999999997</v>
      </c>
      <c r="F418" s="195">
        <v>0</v>
      </c>
      <c r="G418" s="84">
        <f>-Tableau3384[[#This Row],[Montant
CHF]]*0.02</f>
        <v>-88.859808000000001</v>
      </c>
      <c r="H418" s="136">
        <f>Tableau3384[[#This Row],[Montant
CHF]]+Tableau3384[[#This Row],[Abzug/Spesen
CHF]]</f>
        <v>4354.1305919999995</v>
      </c>
      <c r="I418" s="188">
        <v>0.97433999999999998</v>
      </c>
      <c r="J418" s="189">
        <v>4560</v>
      </c>
      <c r="K418" s="189"/>
      <c r="L418" s="298"/>
      <c r="M418" s="194"/>
      <c r="N418" s="196">
        <v>45474</v>
      </c>
      <c r="O418" s="282" t="str">
        <f>IF(Tableau3384[[#This Row],[Date du paiement]]&gt;0,"",Tableau3384[[#This Row],[Montant
CHF]])</f>
        <v/>
      </c>
      <c r="P418" s="287" t="str">
        <f>IF(Tableau3384[[#This Row],[Date du paiement]]="",$B$4-Tableau3384[[#This Row],[Écheance]],"")</f>
        <v/>
      </c>
      <c r="Q418" s="168" t="str">
        <f>IF(Tableau3384[[#This Row],[Date du paiement]]="",IF(Tableau3384[[#This Row],[jours jusqu''à l''écheance]]&gt;0,Tableau3384[[#This Row],[Montant
CHF]],""),"")</f>
        <v/>
      </c>
      <c r="R418" s="298" t="str">
        <f>IF(Tableau3384[[#This Row],[Date du paiement]]="",IF(Tableau3384[[#This Row],[jours jusqu''à l''écheance]]&gt;0,Tableau3384[[#This Row],[Montant
CHF]],""),"")</f>
        <v/>
      </c>
      <c r="S418" s="142"/>
      <c r="T418" s="168" t="str">
        <f>IF(Tableau3384[[#This Row],[Paiements prevus]]="oui",Tableau3384[[#This Row],[Montant prevu à payer CH]],"")</f>
        <v/>
      </c>
      <c r="U418" s="177"/>
      <c r="V418" s="192"/>
      <c r="W418" s="190"/>
      <c r="X418" s="187">
        <v>45476</v>
      </c>
      <c r="Y418" s="181" t="s">
        <v>58</v>
      </c>
      <c r="Z418" s="120" t="str">
        <f>IF(Tableau3384[[#This Row],[Méthode du paiement]]="Mastercard","OUI","")</f>
        <v/>
      </c>
      <c r="AA418" s="180" t="s">
        <v>14</v>
      </c>
      <c r="AB418" s="180" t="s">
        <v>824</v>
      </c>
    </row>
    <row r="419" spans="1:28" s="184" customFormat="1" hidden="1" x14ac:dyDescent="0.25">
      <c r="A419" s="182" t="s">
        <v>1078</v>
      </c>
      <c r="B419" s="185">
        <v>45465</v>
      </c>
      <c r="C419" s="185">
        <v>45470</v>
      </c>
      <c r="D419" s="186" t="s">
        <v>1079</v>
      </c>
      <c r="E419" s="183">
        <v>460</v>
      </c>
      <c r="F419" s="195">
        <v>0</v>
      </c>
      <c r="G419" s="193"/>
      <c r="H419" s="136">
        <f>Tableau3384[[#This Row],[Montant
CHF]]+Tableau3384[[#This Row],[Abzug/Spesen
CHF]]</f>
        <v>460</v>
      </c>
      <c r="I419" s="188"/>
      <c r="J419" s="189"/>
      <c r="K419" s="189"/>
      <c r="L419" s="298"/>
      <c r="M419" s="194"/>
      <c r="N419" s="185">
        <v>45525</v>
      </c>
      <c r="O419" s="282" t="str">
        <f>IF(Tableau3384[[#This Row],[Date du paiement]]&gt;0,"",Tableau3384[[#This Row],[Montant
CHF]])</f>
        <v/>
      </c>
      <c r="P419" s="287" t="str">
        <f>IF(Tableau3384[[#This Row],[Date du paiement]]="",$B$4-Tableau3384[[#This Row],[Écheance]],"")</f>
        <v/>
      </c>
      <c r="Q419" s="168" t="str">
        <f>IF(Tableau3384[[#This Row],[Date du paiement]]="",IF(Tableau3384[[#This Row],[jours jusqu''à l''écheance]]&gt;0,Tableau3384[[#This Row],[Montant
CHF]],""),"")</f>
        <v/>
      </c>
      <c r="R419" s="298" t="str">
        <f>IF(Tableau3384[[#This Row],[Date du paiement]]="",IF(Tableau3384[[#This Row],[jours jusqu''à l''écheance]]-($B$4-$B$11-1)&gt;0,Tableau3384[[#This Row],[Montant
CHF]],""),"")</f>
        <v/>
      </c>
      <c r="S419" s="142"/>
      <c r="T419" s="168" t="str">
        <f>IF(Tableau3384[[#This Row],[Paiements prevus]]="oui",Tableau3384[[#This Row],[Montant prevu à payer CH]],"")</f>
        <v/>
      </c>
      <c r="U419" s="177"/>
      <c r="V419" s="192" t="s">
        <v>735</v>
      </c>
      <c r="W419" s="190"/>
      <c r="X419" s="187">
        <v>45526</v>
      </c>
      <c r="Y419" s="181" t="s">
        <v>58</v>
      </c>
      <c r="Z419" s="120" t="str">
        <f>IF(Tableau3384[[#This Row],[Méthode du paiement]]="Mastercard","OUI","")</f>
        <v/>
      </c>
      <c r="AA419" s="180" t="s">
        <v>1080</v>
      </c>
      <c r="AB419" s="180" t="s">
        <v>1081</v>
      </c>
    </row>
    <row r="420" spans="1:28" s="184" customFormat="1" hidden="1" x14ac:dyDescent="0.25">
      <c r="A420" s="182" t="s">
        <v>1063</v>
      </c>
      <c r="B420" s="185">
        <v>45467</v>
      </c>
      <c r="C420" s="185">
        <v>45469</v>
      </c>
      <c r="D420" s="186" t="s">
        <v>216</v>
      </c>
      <c r="E420" s="183">
        <v>2585.5</v>
      </c>
      <c r="F420" s="195">
        <v>100</v>
      </c>
      <c r="G420" s="193"/>
      <c r="H420" s="136">
        <f>Tableau3384[[#This Row],[Montant
CHF]]+Tableau3384[[#This Row],[Abzug/Spesen
CHF]]</f>
        <v>2585.5</v>
      </c>
      <c r="I420" s="188"/>
      <c r="J420" s="189"/>
      <c r="K420" s="189"/>
      <c r="L420" s="298"/>
      <c r="M420" s="194"/>
      <c r="N420" s="185">
        <v>45527</v>
      </c>
      <c r="O420" s="282" t="str">
        <f>IF(Tableau3384[[#This Row],[Date du paiement]]&gt;0,"",Tableau3384[[#This Row],[Montant
CHF]])</f>
        <v/>
      </c>
      <c r="P420" s="287" t="str">
        <f>IF(Tableau3384[[#This Row],[Date du paiement]]="",$B$4-Tableau3384[[#This Row],[Écheance]],"")</f>
        <v/>
      </c>
      <c r="Q420" s="168" t="str">
        <f>IF(Tableau3384[[#This Row],[Date du paiement]]="",IF(Tableau3384[[#This Row],[jours jusqu''à l''écheance]]&gt;0,Tableau3384[[#This Row],[Montant
CHF]],""),"")</f>
        <v/>
      </c>
      <c r="R420" s="298" t="str">
        <f>IF(Tableau3384[[#This Row],[Date du paiement]]="",IF(Tableau3384[[#This Row],[jours jusqu''à l''écheance]]-($B$4-$B$11-1)&gt;0,Tableau3384[[#This Row],[Montant
CHF]],""),"")</f>
        <v/>
      </c>
      <c r="S420" s="142"/>
      <c r="T420" s="168" t="str">
        <f>IF(Tableau3384[[#This Row],[Paiements prevus]]="oui",Tableau3384[[#This Row],[Montant prevu à payer CH]],"")</f>
        <v/>
      </c>
      <c r="U420" s="177"/>
      <c r="V420" s="192" t="s">
        <v>736</v>
      </c>
      <c r="W420" s="190"/>
      <c r="X420" s="187">
        <v>45527</v>
      </c>
      <c r="Y420" s="181" t="s">
        <v>58</v>
      </c>
      <c r="Z420" s="120" t="str">
        <f>IF(Tableau3384[[#This Row],[Méthode du paiement]]="Mastercard","OUI","")</f>
        <v/>
      </c>
      <c r="AA420" s="180" t="s">
        <v>604</v>
      </c>
      <c r="AB420" s="180" t="s">
        <v>1064</v>
      </c>
    </row>
    <row r="421" spans="1:28" s="184" customFormat="1" hidden="1" x14ac:dyDescent="0.25">
      <c r="A421" s="182" t="s">
        <v>815</v>
      </c>
      <c r="B421" s="185">
        <v>45468</v>
      </c>
      <c r="C421" s="185">
        <v>45463</v>
      </c>
      <c r="D421" s="186" t="s">
        <v>169</v>
      </c>
      <c r="E421" s="183">
        <v>190</v>
      </c>
      <c r="F421" s="195">
        <v>0</v>
      </c>
      <c r="G421" s="193"/>
      <c r="H421" s="136">
        <f>Tableau3384[[#This Row],[Montant
CHF]]+Tableau3384[[#This Row],[Abzug/Spesen
CHF]]</f>
        <v>190</v>
      </c>
      <c r="I421" s="188"/>
      <c r="J421" s="189"/>
      <c r="K421" s="189"/>
      <c r="L421" s="298"/>
      <c r="M421" s="194"/>
      <c r="N421" s="185">
        <v>45498</v>
      </c>
      <c r="O421" s="282" t="str">
        <f>IF(Tableau3384[[#This Row],[Date du paiement]]&gt;0,"",Tableau3384[[#This Row],[Montant
CHF]])</f>
        <v/>
      </c>
      <c r="P421" s="287" t="str">
        <f>IF(Tableau3384[[#This Row],[Date du paiement]]="",$B$4-Tableau3384[[#This Row],[Écheance]],"")</f>
        <v/>
      </c>
      <c r="Q421" s="168" t="str">
        <f>IF(Tableau3384[[#This Row],[Date du paiement]]="",IF(Tableau3384[[#This Row],[jours jusqu''à l''écheance]]&gt;0,Tableau3384[[#This Row],[Montant
CHF]],""),"")</f>
        <v/>
      </c>
      <c r="R421" s="298" t="str">
        <f>IF(Tableau3384[[#This Row],[Date du paiement]]="",IF(Tableau3384[[#This Row],[jours jusqu''à l''écheance]]-($B$4-$B$11-1)&gt;0,Tableau3384[[#This Row],[Montant
CHF]],""),"")</f>
        <v/>
      </c>
      <c r="S421" s="142"/>
      <c r="T421" s="168" t="str">
        <f>IF(Tableau3384[[#This Row],[Paiements prevus]]="oui",Tableau3384[[#This Row],[Montant prevu à payer CH]],"")</f>
        <v/>
      </c>
      <c r="U421" s="177"/>
      <c r="V421" s="192" t="s">
        <v>735</v>
      </c>
      <c r="W421" s="190"/>
      <c r="X421" s="187">
        <v>45499</v>
      </c>
      <c r="Y421" s="181" t="s">
        <v>58</v>
      </c>
      <c r="Z421" s="120" t="str">
        <f>IF(Tableau3384[[#This Row],[Méthode du paiement]]="Mastercard","OUI","")</f>
        <v/>
      </c>
      <c r="AA421" s="180" t="s">
        <v>43</v>
      </c>
      <c r="AB421" s="180" t="s">
        <v>557</v>
      </c>
    </row>
    <row r="422" spans="1:28" s="184" customFormat="1" hidden="1" x14ac:dyDescent="0.25">
      <c r="A422" s="182" t="s">
        <v>820</v>
      </c>
      <c r="B422" s="185">
        <v>45468</v>
      </c>
      <c r="C422" s="185">
        <v>45468</v>
      </c>
      <c r="D422" s="186" t="s">
        <v>22</v>
      </c>
      <c r="E422" s="183">
        <v>1924.2</v>
      </c>
      <c r="F422" s="195">
        <v>8.1</v>
      </c>
      <c r="G422" s="193">
        <v>-38.479999999999997</v>
      </c>
      <c r="H422" s="136">
        <f>Tableau3384[[#This Row],[Montant
CHF]]+Tableau3384[[#This Row],[Abzug/Spesen
CHF]]</f>
        <v>1885.72</v>
      </c>
      <c r="I422" s="188"/>
      <c r="J422" s="189"/>
      <c r="K422" s="189"/>
      <c r="L422" s="298"/>
      <c r="M422" s="194"/>
      <c r="N422" s="185">
        <v>45478</v>
      </c>
      <c r="O422" s="282" t="str">
        <f>IF(Tableau3384[[#This Row],[Date du paiement]]&gt;0,"",Tableau3384[[#This Row],[Montant
CHF]])</f>
        <v/>
      </c>
      <c r="P422" s="287" t="str">
        <f>IF(Tableau3384[[#This Row],[Date du paiement]]="",$B$4-Tableau3384[[#This Row],[Écheance]],"")</f>
        <v/>
      </c>
      <c r="Q422" s="168" t="str">
        <f>IF(Tableau3384[[#This Row],[Date du paiement]]="",IF(Tableau3384[[#This Row],[jours jusqu''à l''écheance]]&gt;0,Tableau3384[[#This Row],[Montant
CHF]],""),"")</f>
        <v/>
      </c>
      <c r="R422" s="298" t="str">
        <f>IF(Tableau3384[[#This Row],[Date du paiement]]="",IF(Tableau3384[[#This Row],[jours jusqu''à l''écheance]]&gt;0,Tableau3384[[#This Row],[Montant
CHF]],""),"")</f>
        <v/>
      </c>
      <c r="S422" s="142"/>
      <c r="T422" s="168" t="str">
        <f>IF(Tableau3384[[#This Row],[Paiements prevus]]="oui",Tableau3384[[#This Row],[Montant prevu à payer CH]],"")</f>
        <v/>
      </c>
      <c r="U422" s="177"/>
      <c r="V422" s="192" t="s">
        <v>738</v>
      </c>
      <c r="W422" s="190"/>
      <c r="X422" s="187">
        <v>45478</v>
      </c>
      <c r="Y422" s="181" t="s">
        <v>58</v>
      </c>
      <c r="Z422" s="120" t="str">
        <f>IF(Tableau3384[[#This Row],[Méthode du paiement]]="Mastercard","OUI","")</f>
        <v/>
      </c>
      <c r="AA422" s="180" t="s">
        <v>14</v>
      </c>
      <c r="AB422" s="180" t="s">
        <v>821</v>
      </c>
    </row>
    <row r="423" spans="1:28" s="184" customFormat="1" hidden="1" x14ac:dyDescent="0.25">
      <c r="A423" s="182" t="s">
        <v>1070</v>
      </c>
      <c r="B423" s="185">
        <v>45468</v>
      </c>
      <c r="C423" s="185">
        <v>45469</v>
      </c>
      <c r="D423" s="186" t="s">
        <v>117</v>
      </c>
      <c r="E423" s="183">
        <f>Tableau3384[[#This Row],[Montant
EUR]]*Tableau3384[[#This Row],[Taux 
de change]]</f>
        <v>3599.5699986</v>
      </c>
      <c r="F423" s="195">
        <v>0</v>
      </c>
      <c r="G423" s="193"/>
      <c r="H423" s="136">
        <f>Tableau3384[[#This Row],[Montant
CHF]]+Tableau3384[[#This Row],[Abzug/Spesen
CHF]]</f>
        <v>3599.5699986</v>
      </c>
      <c r="I423" s="188">
        <v>0.96219460000000001</v>
      </c>
      <c r="J423" s="189">
        <v>3741</v>
      </c>
      <c r="K423" s="189"/>
      <c r="L423" s="298"/>
      <c r="M423" s="194"/>
      <c r="N423" s="185">
        <v>45498</v>
      </c>
      <c r="O423" s="282" t="str">
        <f>IF(Tableau3384[[#This Row],[Date du paiement]]&gt;0,"",Tableau3384[[#This Row],[Montant
CHF]])</f>
        <v/>
      </c>
      <c r="P423" s="287" t="str">
        <f>IF(Tableau3384[[#This Row],[Date du paiement]]="",$B$4-Tableau3384[[#This Row],[Écheance]],"")</f>
        <v/>
      </c>
      <c r="Q423" s="168" t="str">
        <f>IF(Tableau3384[[#This Row],[Date du paiement]]="",IF(Tableau3384[[#This Row],[jours jusqu''à l''écheance]]&gt;0,Tableau3384[[#This Row],[Montant
CHF]],""),"")</f>
        <v/>
      </c>
      <c r="R423" s="298" t="str">
        <f>IF(Tableau3384[[#This Row],[Date du paiement]]="",IF(Tableau3384[[#This Row],[jours jusqu''à l''écheance]]-($B$4-$B$11-1)&gt;0,Tableau3384[[#This Row],[Montant
CHF]],""),"")</f>
        <v/>
      </c>
      <c r="S423" s="142"/>
      <c r="T423" s="168" t="str">
        <f>IF(Tableau3384[[#This Row],[Paiements prevus]]="oui",Tableau3384[[#This Row],[Montant prevu à payer CH]],"")</f>
        <v/>
      </c>
      <c r="U423" s="177"/>
      <c r="V423" s="192" t="s">
        <v>737</v>
      </c>
      <c r="W423" s="190"/>
      <c r="X423" s="187">
        <v>45499</v>
      </c>
      <c r="Y423" s="181" t="s">
        <v>58</v>
      </c>
      <c r="Z423" s="120" t="str">
        <f>IF(Tableau3384[[#This Row],[Méthode du paiement]]="Mastercard","OUI","")</f>
        <v/>
      </c>
      <c r="AA423" s="180" t="s">
        <v>14</v>
      </c>
      <c r="AB423" s="180" t="s">
        <v>1072</v>
      </c>
    </row>
    <row r="424" spans="1:28" s="184" customFormat="1" hidden="1" x14ac:dyDescent="0.25">
      <c r="A424" s="182" t="s">
        <v>1071</v>
      </c>
      <c r="B424" s="185">
        <v>45468</v>
      </c>
      <c r="C424" s="185">
        <v>45469</v>
      </c>
      <c r="D424" s="186" t="s">
        <v>117</v>
      </c>
      <c r="E424" s="183">
        <f>Tableau3384[[#This Row],[Montant
EUR]]*Tableau3384[[#This Row],[Taux 
de change]]</f>
        <v>577.26</v>
      </c>
      <c r="F424" s="195">
        <v>0</v>
      </c>
      <c r="G424" s="193"/>
      <c r="H424" s="136">
        <f>Tableau3384[[#This Row],[Montant
CHF]]+Tableau3384[[#This Row],[Abzug/Spesen
CHF]]</f>
        <v>577.26</v>
      </c>
      <c r="I424" s="188">
        <v>0.96209999999999996</v>
      </c>
      <c r="J424" s="189">
        <v>600</v>
      </c>
      <c r="K424" s="189"/>
      <c r="L424" s="298"/>
      <c r="M424" s="194"/>
      <c r="N424" s="185">
        <v>45498</v>
      </c>
      <c r="O424" s="282" t="str">
        <f>IF(Tableau3384[[#This Row],[Date du paiement]]&gt;0,"",Tableau3384[[#This Row],[Montant
CHF]])</f>
        <v/>
      </c>
      <c r="P424" s="287" t="str">
        <f>IF(Tableau3384[[#This Row],[Date du paiement]]="",$B$4-Tableau3384[[#This Row],[Écheance]],"")</f>
        <v/>
      </c>
      <c r="Q424" s="168" t="str">
        <f>IF(Tableau3384[[#This Row],[Date du paiement]]="",IF(Tableau3384[[#This Row],[jours jusqu''à l''écheance]]&gt;0,Tableau3384[[#This Row],[Montant
CHF]],""),"")</f>
        <v/>
      </c>
      <c r="R424" s="298" t="str">
        <f>IF(Tableau3384[[#This Row],[Date du paiement]]="",IF(Tableau3384[[#This Row],[jours jusqu''à l''écheance]]-($B$4-$B$11-1)&gt;0,Tableau3384[[#This Row],[Montant
CHF]],""),"")</f>
        <v/>
      </c>
      <c r="S424" s="142"/>
      <c r="T424" s="168" t="str">
        <f>IF(Tableau3384[[#This Row],[Paiements prevus]]="oui",Tableau3384[[#This Row],[Montant prevu à payer CH]],"")</f>
        <v/>
      </c>
      <c r="U424" s="177"/>
      <c r="V424" s="192" t="s">
        <v>737</v>
      </c>
      <c r="W424" s="190"/>
      <c r="X424" s="187">
        <v>45499</v>
      </c>
      <c r="Y424" s="181" t="s">
        <v>58</v>
      </c>
      <c r="Z424" s="120" t="str">
        <f>IF(Tableau3384[[#This Row],[Méthode du paiement]]="Mastercard","OUI","")</f>
        <v/>
      </c>
      <c r="AA424" s="180" t="s">
        <v>11</v>
      </c>
      <c r="AB424" s="180" t="s">
        <v>1072</v>
      </c>
    </row>
    <row r="425" spans="1:28" s="184" customFormat="1" hidden="1" x14ac:dyDescent="0.25">
      <c r="A425" s="182" t="s">
        <v>1061</v>
      </c>
      <c r="B425" s="185">
        <v>45469</v>
      </c>
      <c r="C425" s="185">
        <v>45469</v>
      </c>
      <c r="D425" s="186" t="s">
        <v>25</v>
      </c>
      <c r="E425" s="183">
        <v>40</v>
      </c>
      <c r="F425" s="195">
        <v>0</v>
      </c>
      <c r="G425" s="193"/>
      <c r="H425" s="136">
        <f>Tableau3384[[#This Row],[Montant
CHF]]+Tableau3384[[#This Row],[Abzug/Spesen
CHF]]</f>
        <v>40</v>
      </c>
      <c r="I425" s="188"/>
      <c r="J425" s="189"/>
      <c r="K425" s="189"/>
      <c r="L425" s="298"/>
      <c r="M425" s="194"/>
      <c r="N425" s="185">
        <v>45489</v>
      </c>
      <c r="O425" s="282" t="str">
        <f>IF(Tableau3384[[#This Row],[Date du paiement]]&gt;0,"",Tableau3384[[#This Row],[Montant
CHF]])</f>
        <v/>
      </c>
      <c r="P425" s="287" t="str">
        <f>IF(Tableau3384[[#This Row],[Date du paiement]]="",$B$4-Tableau3384[[#This Row],[Écheance]],"")</f>
        <v/>
      </c>
      <c r="Q425" s="168" t="str">
        <f>IF(Tableau3384[[#This Row],[Date du paiement]]="",IF(Tableau3384[[#This Row],[jours jusqu''à l''écheance]]&gt;0,Tableau3384[[#This Row],[Montant
CHF]],""),"")</f>
        <v/>
      </c>
      <c r="R425" s="298" t="str">
        <f>IF(Tableau3384[[#This Row],[Date du paiement]]="",IF(Tableau3384[[#This Row],[jours jusqu''à l''écheance]]-($B$4-$B$11-1)&gt;0,Tableau3384[[#This Row],[Montant
CHF]],""),"")</f>
        <v/>
      </c>
      <c r="S425" s="142"/>
      <c r="T425" s="168" t="str">
        <f>IF(Tableau3384[[#This Row],[Paiements prevus]]="oui",Tableau3384[[#This Row],[Montant prevu à payer CH]],"")</f>
        <v/>
      </c>
      <c r="U425" s="177"/>
      <c r="V425" s="192" t="s">
        <v>738</v>
      </c>
      <c r="W425" s="190"/>
      <c r="X425" s="187">
        <v>45499</v>
      </c>
      <c r="Y425" s="181" t="s">
        <v>58</v>
      </c>
      <c r="Z425" s="120" t="str">
        <f>IF(Tableau3384[[#This Row],[Méthode du paiement]]="Mastercard","OUI","")</f>
        <v/>
      </c>
      <c r="AA425" s="180" t="s">
        <v>26</v>
      </c>
      <c r="AB425" s="180" t="s">
        <v>1062</v>
      </c>
    </row>
    <row r="426" spans="1:28" s="184" customFormat="1" hidden="1" x14ac:dyDescent="0.25">
      <c r="A426" s="182" t="s">
        <v>1073</v>
      </c>
      <c r="B426" s="185">
        <v>45469</v>
      </c>
      <c r="C426" s="185">
        <v>45469</v>
      </c>
      <c r="D426" s="186" t="s">
        <v>196</v>
      </c>
      <c r="E426" s="183">
        <v>335.15</v>
      </c>
      <c r="F426" s="195">
        <v>8.1</v>
      </c>
      <c r="G426" s="193"/>
      <c r="H426" s="136">
        <f>Tableau3384[[#This Row],[Montant
CHF]]+Tableau3384[[#This Row],[Abzug/Spesen
CHF]]</f>
        <v>335.15</v>
      </c>
      <c r="I426" s="188"/>
      <c r="J426" s="189"/>
      <c r="K426" s="189"/>
      <c r="L426" s="298"/>
      <c r="M426" s="194"/>
      <c r="N426" s="185">
        <v>45479</v>
      </c>
      <c r="O426" s="282" t="str">
        <f>IF(Tableau3384[[#This Row],[Date du paiement]]&gt;0,"",Tableau3384[[#This Row],[Montant
CHF]])</f>
        <v/>
      </c>
      <c r="P426" s="287" t="str">
        <f>IF(Tableau3384[[#This Row],[Date du paiement]]="",$B$4-Tableau3384[[#This Row],[Écheance]],"")</f>
        <v/>
      </c>
      <c r="Q426" s="168" t="str">
        <f>IF(Tableau3384[[#This Row],[Date du paiement]]="",IF(Tableau3384[[#This Row],[jours jusqu''à l''écheance]]&gt;0,Tableau3384[[#This Row],[Montant
CHF]],""),"")</f>
        <v/>
      </c>
      <c r="R426" s="298" t="str">
        <f>IF(Tableau3384[[#This Row],[Date du paiement]]="",IF(Tableau3384[[#This Row],[jours jusqu''à l''écheance]]-($B$4-$B$11-1)&gt;0,Tableau3384[[#This Row],[Montant
CHF]],""),"")</f>
        <v/>
      </c>
      <c r="S426" s="142"/>
      <c r="T426" s="168" t="str">
        <f>IF(Tableau3384[[#This Row],[Paiements prevus]]="oui",Tableau3384[[#This Row],[Montant prevu à payer CH]],"")</f>
        <v/>
      </c>
      <c r="U426" s="177"/>
      <c r="V426" s="192" t="s">
        <v>735</v>
      </c>
      <c r="W426" s="190"/>
      <c r="X426" s="187">
        <v>45499</v>
      </c>
      <c r="Y426" s="181" t="s">
        <v>58</v>
      </c>
      <c r="Z426" s="120" t="str">
        <f>IF(Tableau3384[[#This Row],[Méthode du paiement]]="Mastercard","OUI","")</f>
        <v/>
      </c>
      <c r="AA426" s="180" t="s">
        <v>4</v>
      </c>
      <c r="AB426" s="180" t="s">
        <v>1074</v>
      </c>
    </row>
    <row r="427" spans="1:28" s="184" customFormat="1" hidden="1" x14ac:dyDescent="0.25">
      <c r="A427" s="182" t="s">
        <v>1076</v>
      </c>
      <c r="B427" s="185">
        <v>45469</v>
      </c>
      <c r="C427" s="185">
        <v>45469</v>
      </c>
      <c r="D427" s="186" t="s">
        <v>216</v>
      </c>
      <c r="E427" s="183">
        <v>2253.1</v>
      </c>
      <c r="F427" s="195">
        <v>100</v>
      </c>
      <c r="G427" s="193"/>
      <c r="H427" s="136">
        <f>Tableau3384[[#This Row],[Montant
CHF]]+Tableau3384[[#This Row],[Abzug/Spesen
CHF]]</f>
        <v>2253.1</v>
      </c>
      <c r="I427" s="188"/>
      <c r="J427" s="189"/>
      <c r="K427" s="189"/>
      <c r="L427" s="298"/>
      <c r="M427" s="194"/>
      <c r="N427" s="185">
        <v>45530</v>
      </c>
      <c r="O427" s="282" t="str">
        <f>IF(Tableau3384[[#This Row],[Date du paiement]]&gt;0,"",Tableau3384[[#This Row],[Montant
CHF]])</f>
        <v/>
      </c>
      <c r="P427" s="287" t="str">
        <f>IF(Tableau3384[[#This Row],[Date du paiement]]="",$B$4-Tableau3384[[#This Row],[Écheance]],"")</f>
        <v/>
      </c>
      <c r="Q427" s="168" t="str">
        <f>IF(Tableau3384[[#This Row],[Date du paiement]]="",IF(Tableau3384[[#This Row],[jours jusqu''à l''écheance]]&gt;0,Tableau3384[[#This Row],[Montant
CHF]],""),"")</f>
        <v/>
      </c>
      <c r="R427" s="298" t="str">
        <f>IF(Tableau3384[[#This Row],[Date du paiement]]="",IF(Tableau3384[[#This Row],[jours jusqu''à l''écheance]]-($B$4-$B$11-1)&gt;0,Tableau3384[[#This Row],[Montant
CHF]],""),"")</f>
        <v/>
      </c>
      <c r="S427" s="142"/>
      <c r="T427" s="168" t="str">
        <f>IF(Tableau3384[[#This Row],[Paiements prevus]]="oui",Tableau3384[[#This Row],[Montant prevu à payer CH]],"")</f>
        <v/>
      </c>
      <c r="U427" s="177"/>
      <c r="V427" s="192" t="s">
        <v>736</v>
      </c>
      <c r="W427" s="190"/>
      <c r="X427" s="187">
        <v>45530</v>
      </c>
      <c r="Y427" s="181" t="s">
        <v>58</v>
      </c>
      <c r="Z427" s="120" t="str">
        <f>IF(Tableau3384[[#This Row],[Méthode du paiement]]="Mastercard","OUI","")</f>
        <v/>
      </c>
      <c r="AA427" s="180" t="s">
        <v>604</v>
      </c>
      <c r="AB427" s="180" t="s">
        <v>1077</v>
      </c>
    </row>
    <row r="428" spans="1:28" s="184" customFormat="1" hidden="1" x14ac:dyDescent="0.25">
      <c r="A428" s="182" t="s">
        <v>1068</v>
      </c>
      <c r="B428" s="185">
        <v>45470</v>
      </c>
      <c r="C428" s="185">
        <v>45470</v>
      </c>
      <c r="D428" s="186" t="s">
        <v>25</v>
      </c>
      <c r="E428" s="183">
        <v>40</v>
      </c>
      <c r="F428" s="195">
        <v>0</v>
      </c>
      <c r="G428" s="193"/>
      <c r="H428" s="136">
        <f>Tableau3384[[#This Row],[Montant
CHF]]+Tableau3384[[#This Row],[Abzug/Spesen
CHF]]</f>
        <v>40</v>
      </c>
      <c r="I428" s="188"/>
      <c r="J428" s="189"/>
      <c r="K428" s="189"/>
      <c r="L428" s="298"/>
      <c r="M428" s="194"/>
      <c r="N428" s="185">
        <v>45490</v>
      </c>
      <c r="O428" s="282" t="str">
        <f>IF(Tableau3384[[#This Row],[Date du paiement]]&gt;0,"",Tableau3384[[#This Row],[Montant
CHF]])</f>
        <v/>
      </c>
      <c r="P428" s="287" t="str">
        <f>IF(Tableau3384[[#This Row],[Date du paiement]]="",$B$4-Tableau3384[[#This Row],[Écheance]],"")</f>
        <v/>
      </c>
      <c r="Q428" s="168" t="str">
        <f>IF(Tableau3384[[#This Row],[Date du paiement]]="",IF(Tableau3384[[#This Row],[jours jusqu''à l''écheance]]&gt;0,Tableau3384[[#This Row],[Montant
CHF]],""),"")</f>
        <v/>
      </c>
      <c r="R428" s="298" t="str">
        <f>IF(Tableau3384[[#This Row],[Date du paiement]]="",IF(Tableau3384[[#This Row],[jours jusqu''à l''écheance]]-($B$4-$B$11-1)&gt;0,Tableau3384[[#This Row],[Montant
CHF]],""),"")</f>
        <v/>
      </c>
      <c r="S428" s="142"/>
      <c r="T428" s="168" t="str">
        <f>IF(Tableau3384[[#This Row],[Paiements prevus]]="oui",Tableau3384[[#This Row],[Montant prevu à payer CH]],"")</f>
        <v/>
      </c>
      <c r="U428" s="177"/>
      <c r="V428" s="192" t="s">
        <v>738</v>
      </c>
      <c r="W428" s="190"/>
      <c r="X428" s="187">
        <v>45502</v>
      </c>
      <c r="Y428" s="181" t="s">
        <v>58</v>
      </c>
      <c r="Z428" s="120" t="str">
        <f>IF(Tableau3384[[#This Row],[Méthode du paiement]]="Mastercard","OUI","")</f>
        <v/>
      </c>
      <c r="AA428" s="180" t="s">
        <v>26</v>
      </c>
      <c r="AB428" s="180" t="s">
        <v>1069</v>
      </c>
    </row>
    <row r="429" spans="1:28" s="184" customFormat="1" hidden="1" x14ac:dyDescent="0.25">
      <c r="A429" s="182" t="s">
        <v>1082</v>
      </c>
      <c r="B429" s="185">
        <v>45470</v>
      </c>
      <c r="C429" s="185">
        <v>45470</v>
      </c>
      <c r="D429" s="186" t="s">
        <v>104</v>
      </c>
      <c r="E429" s="183">
        <v>8412.7999999999993</v>
      </c>
      <c r="F429" s="195">
        <v>8.1</v>
      </c>
      <c r="G429" s="193"/>
      <c r="H429" s="136">
        <f>Tableau3384[[#This Row],[Montant
CHF]]+Tableau3384[[#This Row],[Abzug/Spesen
CHF]]</f>
        <v>8412.7999999999993</v>
      </c>
      <c r="I429" s="188"/>
      <c r="J429" s="189"/>
      <c r="K429" s="189"/>
      <c r="L429" s="298"/>
      <c r="M429" s="194"/>
      <c r="N429" s="185">
        <v>45470</v>
      </c>
      <c r="O429" s="282" t="str">
        <f>IF(Tableau3384[[#This Row],[Date du paiement]]&gt;0,"",Tableau3384[[#This Row],[Montant
CHF]])</f>
        <v/>
      </c>
      <c r="P429" s="475" t="str">
        <f>IF(Tableau3384[[#This Row],[Date du paiement]]="",$B$4-Tableau3384[[#This Row],[Écheance]],"")</f>
        <v/>
      </c>
      <c r="Q429" s="168" t="str">
        <f>IF(Tableau3384[[#This Row],[Date du paiement]]="",IF(Tableau3384[[#This Row],[jours jusqu''à l''écheance]]&gt;0,Tableau3384[[#This Row],[Montant
CHF]],""),"")</f>
        <v/>
      </c>
      <c r="R429" s="298" t="str">
        <f>IF(Tableau3384[[#This Row],[Date du paiement]]="",IF(Tableau3384[[#This Row],[jours jusqu''à l''écheance]]&gt;0,Tableau3384[[#This Row],[Montant
CHF]],""),"")</f>
        <v/>
      </c>
      <c r="S429" s="142"/>
      <c r="T429" s="168" t="str">
        <f>IF(Tableau3384[[#This Row],[Paiements prevus]]="oui",Tableau3384[[#This Row],[Montant prevu à payer CH]],"")</f>
        <v/>
      </c>
      <c r="U429" s="449"/>
      <c r="V429" s="192"/>
      <c r="W429" s="190"/>
      <c r="X429" s="187">
        <v>45470</v>
      </c>
      <c r="Y429" s="181" t="s">
        <v>58</v>
      </c>
      <c r="Z429" s="120" t="str">
        <f>IF(Tableau3384[[#This Row],[Méthode du paiement]]="Mastercard","OUI","")</f>
        <v/>
      </c>
      <c r="AA429" s="180" t="s">
        <v>14</v>
      </c>
      <c r="AB429" s="180" t="s">
        <v>1083</v>
      </c>
    </row>
    <row r="430" spans="1:28" s="184" customFormat="1" hidden="1" x14ac:dyDescent="0.25">
      <c r="A430" s="182" t="s">
        <v>1089</v>
      </c>
      <c r="B430" s="185">
        <v>45471</v>
      </c>
      <c r="C430" s="185">
        <v>45471</v>
      </c>
      <c r="D430" s="186" t="s">
        <v>22</v>
      </c>
      <c r="E430" s="183">
        <v>1535</v>
      </c>
      <c r="F430" s="195">
        <v>8.1</v>
      </c>
      <c r="G430" s="193">
        <v>-30.7</v>
      </c>
      <c r="H430" s="136">
        <f>Tableau3384[[#This Row],[Montant
CHF]]+Tableau3384[[#This Row],[Abzug/Spesen
CHF]]</f>
        <v>1504.3</v>
      </c>
      <c r="I430" s="188"/>
      <c r="J430" s="189"/>
      <c r="K430" s="189"/>
      <c r="L430" s="298"/>
      <c r="M430" s="194"/>
      <c r="N430" s="185">
        <v>45481</v>
      </c>
      <c r="O430" s="282" t="str">
        <f>IF(Tableau3384[[#This Row],[Date du paiement]]&gt;0,"",Tableau3384[[#This Row],[Montant
CHF]])</f>
        <v/>
      </c>
      <c r="P430" s="287" t="str">
        <f>IF(Tableau3384[[#This Row],[Date du paiement]]="",$B$4-Tableau3384[[#This Row],[Écheance]],"")</f>
        <v/>
      </c>
      <c r="Q430" s="168" t="str">
        <f>IF(Tableau3384[[#This Row],[Date du paiement]]="",IF(Tableau3384[[#This Row],[jours jusqu''à l''écheance]]&gt;0,Tableau3384[[#This Row],[Montant
CHF]],""),"")</f>
        <v/>
      </c>
      <c r="R430" s="298" t="str">
        <f>IF(Tableau3384[[#This Row],[Date du paiement]]="",IF(Tableau3384[[#This Row],[jours jusqu''à l''écheance]]&gt;0,Tableau3384[[#This Row],[Montant
CHF]],""),"")</f>
        <v/>
      </c>
      <c r="S430" s="142"/>
      <c r="T430" s="168" t="str">
        <f>IF(Tableau3384[[#This Row],[Paiements prevus]]="oui",Tableau3384[[#This Row],[Montant prevu à payer CH]],"")</f>
        <v/>
      </c>
      <c r="U430" s="177"/>
      <c r="V430" s="192" t="s">
        <v>738</v>
      </c>
      <c r="W430" s="190"/>
      <c r="X430" s="187">
        <v>45481</v>
      </c>
      <c r="Y430" s="181" t="s">
        <v>58</v>
      </c>
      <c r="Z430" s="120" t="str">
        <f>IF(Tableau3384[[#This Row],[Méthode du paiement]]="Mastercard","OUI","")</f>
        <v/>
      </c>
      <c r="AA430" s="180" t="s">
        <v>14</v>
      </c>
      <c r="AB430" s="180" t="s">
        <v>1090</v>
      </c>
    </row>
    <row r="431" spans="1:28" s="184" customFormat="1" hidden="1" x14ac:dyDescent="0.25">
      <c r="A431" s="182" t="s">
        <v>1088</v>
      </c>
      <c r="B431" s="185">
        <v>45471</v>
      </c>
      <c r="C431" s="185">
        <v>45471</v>
      </c>
      <c r="D431" s="186" t="s">
        <v>823</v>
      </c>
      <c r="E431" s="183">
        <f>Tableau3384[[#This Row],[Montant
EUR]]*Tableau3384[[#This Row],[Taux 
de change]]</f>
        <v>-444.29903999999999</v>
      </c>
      <c r="F431" s="195">
        <v>0</v>
      </c>
      <c r="G431" s="84">
        <f>-Tableau3384[[#This Row],[Montant
CHF]]*0.02</f>
        <v>8.8859808000000005</v>
      </c>
      <c r="H431" s="136">
        <f>Tableau3384[[#This Row],[Montant
CHF]]+Tableau3384[[#This Row],[Abzug/Spesen
CHF]]</f>
        <v>-435.41305919999996</v>
      </c>
      <c r="I431" s="188">
        <v>0.97433999999999998</v>
      </c>
      <c r="J431" s="189">
        <v>-456</v>
      </c>
      <c r="K431" s="189"/>
      <c r="L431" s="298"/>
      <c r="M431" s="194"/>
      <c r="N431" s="452">
        <v>45474</v>
      </c>
      <c r="O431" s="282" t="str">
        <f>IF(Tableau3384[[#This Row],[Date du paiement]]&gt;0,"",Tableau3384[[#This Row],[Montant
CHF]])</f>
        <v/>
      </c>
      <c r="P431" s="475" t="str">
        <f>IF(Tableau3384[[#This Row],[Date du paiement]]="",$B$4-Tableau3384[[#This Row],[Écheance]],"")</f>
        <v/>
      </c>
      <c r="Q431" s="168" t="str">
        <f>IF(Tableau3384[[#This Row],[Date du paiement]]="",IF(Tableau3384[[#This Row],[jours jusqu''à l''écheance]]&gt;0,Tableau3384[[#This Row],[Montant
CHF]],""),"")</f>
        <v/>
      </c>
      <c r="R431" s="298" t="str">
        <f>IF(Tableau3384[[#This Row],[Date du paiement]]="",IF(Tableau3384[[#This Row],[jours jusqu''à l''écheance]]&gt;0,Tableau3384[[#This Row],[Montant
CHF]],""),"")</f>
        <v/>
      </c>
      <c r="S431" s="142"/>
      <c r="T431" s="168" t="str">
        <f>IF(Tableau3384[[#This Row],[Paiements prevus]]="oui",Tableau3384[[#This Row],[Montant prevu à payer CH]],"")</f>
        <v/>
      </c>
      <c r="U431" s="449"/>
      <c r="V431" s="192"/>
      <c r="W431" s="190"/>
      <c r="X431" s="187">
        <v>45476</v>
      </c>
      <c r="Y431" s="181" t="s">
        <v>58</v>
      </c>
      <c r="Z431" s="120" t="str">
        <f>IF(Tableau3384[[#This Row],[Méthode du paiement]]="Mastercard","OUI","")</f>
        <v/>
      </c>
      <c r="AA431" s="180" t="s">
        <v>14</v>
      </c>
      <c r="AB431" s="180" t="s">
        <v>824</v>
      </c>
    </row>
    <row r="432" spans="1:28" s="184" customFormat="1" hidden="1" x14ac:dyDescent="0.25">
      <c r="A432" s="182" t="s">
        <v>1095</v>
      </c>
      <c r="B432" s="185">
        <v>45471</v>
      </c>
      <c r="C432" s="185">
        <v>45475</v>
      </c>
      <c r="D432" s="186" t="s">
        <v>92</v>
      </c>
      <c r="E432" s="183">
        <v>100</v>
      </c>
      <c r="F432" s="195">
        <v>8.1</v>
      </c>
      <c r="G432" s="193"/>
      <c r="H432" s="136">
        <f>Tableau3384[[#This Row],[Montant
CHF]]+Tableau3384[[#This Row],[Abzug/Spesen
CHF]]</f>
        <v>100</v>
      </c>
      <c r="I432" s="188"/>
      <c r="J432" s="189"/>
      <c r="K432" s="189"/>
      <c r="L432" s="298"/>
      <c r="M432" s="194"/>
      <c r="N432" s="185">
        <v>45481</v>
      </c>
      <c r="O432" s="282" t="str">
        <f>IF(Tableau3384[[#This Row],[Date du paiement]]&gt;0,"",Tableau3384[[#This Row],[Montant
CHF]])</f>
        <v/>
      </c>
      <c r="P432" s="287" t="str">
        <f>IF(Tableau3384[[#This Row],[Date du paiement]]="",$B$4-Tableau3384[[#This Row],[Écheance]],"")</f>
        <v/>
      </c>
      <c r="Q432" s="168" t="str">
        <f>IF(Tableau3384[[#This Row],[Date du paiement]]="",IF(Tableau3384[[#This Row],[jours jusqu''à l''écheance]]&gt;0,Tableau3384[[#This Row],[Montant
CHF]],""),"")</f>
        <v/>
      </c>
      <c r="R432" s="298" t="str">
        <f>IF(Tableau3384[[#This Row],[Date du paiement]]="",IF(Tableau3384[[#This Row],[jours jusqu''à l''écheance]]-($B$4-$B$11-1)&gt;0,Tableau3384[[#This Row],[Montant
CHF]],""),"")</f>
        <v/>
      </c>
      <c r="S432" s="142"/>
      <c r="T432" s="168" t="str">
        <f>IF(Tableau3384[[#This Row],[Paiements prevus]]="oui",Tableau3384[[#This Row],[Montant prevu à payer CH]],"")</f>
        <v/>
      </c>
      <c r="U432" s="177"/>
      <c r="V432" s="192" t="s">
        <v>738</v>
      </c>
      <c r="W432" s="190"/>
      <c r="X432" s="187">
        <v>45502</v>
      </c>
      <c r="Y432" s="181" t="s">
        <v>58</v>
      </c>
      <c r="Z432" s="120" t="str">
        <f>IF(Tableau3384[[#This Row],[Méthode du paiement]]="Mastercard","OUI","")</f>
        <v/>
      </c>
      <c r="AA432" s="180" t="s">
        <v>14</v>
      </c>
      <c r="AB432" s="180" t="s">
        <v>1096</v>
      </c>
    </row>
    <row r="433" spans="1:28" s="184" customFormat="1" hidden="1" x14ac:dyDescent="0.25">
      <c r="A433" s="182" t="s">
        <v>1147</v>
      </c>
      <c r="B433" s="185">
        <v>45471</v>
      </c>
      <c r="C433" s="185">
        <v>45481</v>
      </c>
      <c r="D433" s="186" t="s">
        <v>104</v>
      </c>
      <c r="E433" s="183">
        <v>8412.7999999999993</v>
      </c>
      <c r="F433" s="195">
        <v>8.1</v>
      </c>
      <c r="G433" s="193"/>
      <c r="H433" s="136">
        <f>Tableau3384[[#This Row],[Montant
CHF]]+Tableau3384[[#This Row],[Abzug/Spesen
CHF]]</f>
        <v>8412.7999999999993</v>
      </c>
      <c r="I433" s="188"/>
      <c r="J433" s="189"/>
      <c r="K433" s="189"/>
      <c r="L433" s="298"/>
      <c r="M433" s="194" t="s">
        <v>1188</v>
      </c>
      <c r="N433" s="439">
        <v>45481</v>
      </c>
      <c r="O433" s="282" t="str">
        <f>IF(Tableau3384[[#This Row],[Date du paiement]]&gt;0,"",Tableau3384[[#This Row],[Montant
CHF]])</f>
        <v/>
      </c>
      <c r="P433" s="287" t="str">
        <f>IF(Tableau3384[[#This Row],[Date du paiement]]="",$B$4-Tableau3384[[#This Row],[Écheance]],"")</f>
        <v/>
      </c>
      <c r="Q433" s="168" t="str">
        <f>IF(Tableau3384[[#This Row],[Date du paiement]]="",IF(Tableau3384[[#This Row],[jours jusqu''à l''écheance]]&gt;0,Tableau3384[[#This Row],[Montant
CHF]],""),"")</f>
        <v/>
      </c>
      <c r="R433" s="298" t="str">
        <f>IF(Tableau3384[[#This Row],[Date du paiement]]="",IF(Tableau3384[[#This Row],[jours jusqu''à l''écheance]]&gt;0,Tableau3384[[#This Row],[Montant
CHF]],""),"")</f>
        <v/>
      </c>
      <c r="S433" s="142"/>
      <c r="T433" s="168" t="str">
        <f>IF(Tableau3384[[#This Row],[Paiements prevus]]="oui",Tableau3384[[#This Row],[Montant prevu à payer CH]],"")</f>
        <v/>
      </c>
      <c r="U433" s="177"/>
      <c r="V433" s="192" t="s">
        <v>738</v>
      </c>
      <c r="W433" s="190"/>
      <c r="X433" s="187">
        <v>45481</v>
      </c>
      <c r="Y433" s="181" t="s">
        <v>58</v>
      </c>
      <c r="Z433" s="120" t="str">
        <f>IF(Tableau3384[[#This Row],[Méthode du paiement]]="Mastercard","OUI","")</f>
        <v/>
      </c>
      <c r="AA433" s="180" t="s">
        <v>14</v>
      </c>
      <c r="AB433" s="180" t="s">
        <v>1141</v>
      </c>
    </row>
    <row r="434" spans="1:28" s="184" customFormat="1" hidden="1" x14ac:dyDescent="0.25">
      <c r="A434" s="182" t="s">
        <v>1093</v>
      </c>
      <c r="B434" s="185">
        <v>45473</v>
      </c>
      <c r="C434" s="185">
        <v>45474</v>
      </c>
      <c r="D434" s="186" t="s">
        <v>101</v>
      </c>
      <c r="E434" s="183">
        <v>107.75</v>
      </c>
      <c r="F434" s="195">
        <v>8.1</v>
      </c>
      <c r="G434" s="193"/>
      <c r="H434" s="136">
        <f>Tableau3384[[#This Row],[Montant
CHF]]+Tableau3384[[#This Row],[Abzug/Spesen
CHF]]</f>
        <v>107.75</v>
      </c>
      <c r="I434" s="188"/>
      <c r="J434" s="189"/>
      <c r="K434" s="189"/>
      <c r="L434" s="298"/>
      <c r="M434" s="194"/>
      <c r="N434" s="185">
        <v>45503</v>
      </c>
      <c r="O434" s="282" t="str">
        <f>IF(Tableau3384[[#This Row],[Date du paiement]]&gt;0,"",Tableau3384[[#This Row],[Montant
CHF]])</f>
        <v/>
      </c>
      <c r="P434" s="287" t="str">
        <f>IF(Tableau3384[[#This Row],[Date du paiement]]="",$B$4-Tableau3384[[#This Row],[Écheance]],"")</f>
        <v/>
      </c>
      <c r="Q434" s="168" t="str">
        <f>IF(Tableau3384[[#This Row],[Date du paiement]]="",IF(Tableau3384[[#This Row],[jours jusqu''à l''écheance]]&gt;0,Tableau3384[[#This Row],[Montant
CHF]],""),"")</f>
        <v/>
      </c>
      <c r="R434" s="298" t="str">
        <f>IF(Tableau3384[[#This Row],[Date du paiement]]="",IF(Tableau3384[[#This Row],[jours jusqu''à l''écheance]]-($B$4-$B$11-1)&gt;0,Tableau3384[[#This Row],[Montant
CHF]],""),"")</f>
        <v/>
      </c>
      <c r="S434" s="142"/>
      <c r="T434" s="168" t="str">
        <f>IF(Tableau3384[[#This Row],[Paiements prevus]]="oui",Tableau3384[[#This Row],[Montant prevu à payer CH]],"")</f>
        <v/>
      </c>
      <c r="U434" s="177"/>
      <c r="V434" s="192" t="s">
        <v>735</v>
      </c>
      <c r="W434" s="190"/>
      <c r="X434" s="187">
        <v>45503</v>
      </c>
      <c r="Y434" s="181" t="s">
        <v>58</v>
      </c>
      <c r="Z434" s="120" t="str">
        <f>IF(Tableau3384[[#This Row],[Méthode du paiement]]="Mastercard","OUI","")</f>
        <v/>
      </c>
      <c r="AA434" s="180" t="s">
        <v>102</v>
      </c>
      <c r="AB434" s="180" t="s">
        <v>557</v>
      </c>
    </row>
    <row r="435" spans="1:28" s="184" customFormat="1" hidden="1" x14ac:dyDescent="0.25">
      <c r="A435" s="182" t="s">
        <v>1120</v>
      </c>
      <c r="B435" s="185">
        <v>45473</v>
      </c>
      <c r="C435" s="185">
        <v>45474</v>
      </c>
      <c r="D435" s="186" t="s">
        <v>94</v>
      </c>
      <c r="E435" s="183">
        <v>307.85000000000002</v>
      </c>
      <c r="F435" s="195">
        <v>8.1</v>
      </c>
      <c r="G435" s="193"/>
      <c r="H435" s="136">
        <f>Tableau3384[[#This Row],[Montant
CHF]]+Tableau3384[[#This Row],[Abzug/Spesen
CHF]]</f>
        <v>307.85000000000002</v>
      </c>
      <c r="I435" s="188"/>
      <c r="J435" s="189"/>
      <c r="K435" s="189"/>
      <c r="L435" s="298">
        <v>325.16000000000003</v>
      </c>
      <c r="M435" s="194" t="s">
        <v>1103</v>
      </c>
      <c r="N435" s="185">
        <v>45503</v>
      </c>
      <c r="O435" s="282" t="str">
        <f>IF(Tableau3384[[#This Row],[Date du paiement]]&gt;0,"",Tableau3384[[#This Row],[Montant
CHF]])</f>
        <v/>
      </c>
      <c r="P435" s="287" t="str">
        <f>IF(Tableau3384[[#This Row],[Date du paiement]]="",$B$4-Tableau3384[[#This Row],[Écheance]],"")</f>
        <v/>
      </c>
      <c r="Q435" s="168" t="str">
        <f>IF(Tableau3384[[#This Row],[Date du paiement]]="",IF(Tableau3384[[#This Row],[jours jusqu''à l''écheance]]&gt;0,Tableau3384[[#This Row],[Montant
CHF]],""),"")</f>
        <v/>
      </c>
      <c r="R435" s="298" t="str">
        <f>IF(Tableau3384[[#This Row],[Date du paiement]]="",IF(Tableau3384[[#This Row],[jours jusqu''à l''écheance]]-($B$4-$B$11-1)&gt;0,Tableau3384[[#This Row],[Montant
CHF]],""),"")</f>
        <v/>
      </c>
      <c r="S435" s="142"/>
      <c r="T435" s="168" t="str">
        <f>IF(Tableau3384[[#This Row],[Paiements prevus]]="oui",Tableau3384[[#This Row],[Montant prevu à payer CH]],"")</f>
        <v/>
      </c>
      <c r="U435" s="177"/>
      <c r="V435" s="192" t="s">
        <v>738</v>
      </c>
      <c r="W435" s="190"/>
      <c r="X435" s="187">
        <v>45503</v>
      </c>
      <c r="Y435" s="181" t="s">
        <v>58</v>
      </c>
      <c r="Z435" s="120" t="str">
        <f>IF(Tableau3384[[#This Row],[Méthode du paiement]]="Mastercard","OUI","")</f>
        <v/>
      </c>
      <c r="AA435" s="180" t="s">
        <v>96</v>
      </c>
      <c r="AB435" s="180" t="s">
        <v>1094</v>
      </c>
    </row>
    <row r="436" spans="1:28" s="184" customFormat="1" hidden="1" x14ac:dyDescent="0.25">
      <c r="A436" s="182" t="s">
        <v>1121</v>
      </c>
      <c r="B436" s="185">
        <v>45473</v>
      </c>
      <c r="C436" s="185">
        <v>45474</v>
      </c>
      <c r="D436" s="186" t="s">
        <v>94</v>
      </c>
      <c r="E436" s="183">
        <v>17.309999999999999</v>
      </c>
      <c r="F436" s="195">
        <v>8.1</v>
      </c>
      <c r="G436" s="193"/>
      <c r="H436" s="136">
        <f>Tableau3384[[#This Row],[Montant
CHF]]+Tableau3384[[#This Row],[Abzug/Spesen
CHF]]</f>
        <v>17.309999999999999</v>
      </c>
      <c r="I436" s="188"/>
      <c r="J436" s="189"/>
      <c r="K436" s="189"/>
      <c r="L436" s="298">
        <v>325.16000000000003</v>
      </c>
      <c r="M436" s="194" t="s">
        <v>1103</v>
      </c>
      <c r="N436" s="185">
        <v>45503</v>
      </c>
      <c r="O436" s="282" t="str">
        <f>IF(Tableau3384[[#This Row],[Date du paiement]]&gt;0,"",Tableau3384[[#This Row],[Montant
CHF]])</f>
        <v/>
      </c>
      <c r="P436" s="287" t="str">
        <f>IF(Tableau3384[[#This Row],[Date du paiement]]="",$B$4-Tableau3384[[#This Row],[Écheance]],"")</f>
        <v/>
      </c>
      <c r="Q436" s="168" t="str">
        <f>IF(Tableau3384[[#This Row],[Date du paiement]]="",IF(Tableau3384[[#This Row],[jours jusqu''à l''écheance]]&gt;0,Tableau3384[[#This Row],[Montant
CHF]],""),"")</f>
        <v/>
      </c>
      <c r="R436" s="298" t="str">
        <f>IF(Tableau3384[[#This Row],[Date du paiement]]="",IF(Tableau3384[[#This Row],[jours jusqu''à l''écheance]]-($B$4-$B$11-1)&gt;0,Tableau3384[[#This Row],[Montant
CHF]],""),"")</f>
        <v/>
      </c>
      <c r="S436" s="142"/>
      <c r="T436" s="168" t="str">
        <f>IF(Tableau3384[[#This Row],[Paiements prevus]]="oui",Tableau3384[[#This Row],[Montant prevu à payer CH]],"")</f>
        <v/>
      </c>
      <c r="U436" s="177"/>
      <c r="V436" s="192" t="s">
        <v>735</v>
      </c>
      <c r="W436" s="190"/>
      <c r="X436" s="187">
        <v>45503</v>
      </c>
      <c r="Y436" s="181" t="s">
        <v>58</v>
      </c>
      <c r="Z436" s="120" t="str">
        <f>IF(Tableau3384[[#This Row],[Méthode du paiement]]="Mastercard","OUI","")</f>
        <v/>
      </c>
      <c r="AA436" s="180" t="s">
        <v>96</v>
      </c>
      <c r="AB436" s="180" t="s">
        <v>1094</v>
      </c>
    </row>
    <row r="437" spans="1:28" s="184" customFormat="1" hidden="1" x14ac:dyDescent="0.25">
      <c r="A437" s="182" t="s">
        <v>1134</v>
      </c>
      <c r="B437" s="185">
        <v>45473</v>
      </c>
      <c r="C437" s="185">
        <v>45474</v>
      </c>
      <c r="D437" s="186" t="s">
        <v>120</v>
      </c>
      <c r="E437" s="183">
        <v>600</v>
      </c>
      <c r="F437" s="195">
        <v>0</v>
      </c>
      <c r="G437" s="193"/>
      <c r="H437" s="136">
        <f>Tableau3384[[#This Row],[Montant
CHF]]+Tableau3384[[#This Row],[Abzug/Spesen
CHF]]</f>
        <v>600</v>
      </c>
      <c r="I437" s="188"/>
      <c r="J437" s="189"/>
      <c r="K437" s="189"/>
      <c r="L437" s="298"/>
      <c r="M437" s="194"/>
      <c r="N437" s="185">
        <v>45503</v>
      </c>
      <c r="O437" s="282" t="str">
        <f>IF(Tableau3384[[#This Row],[Date du paiement]]&gt;0,"",Tableau3384[[#This Row],[Montant
CHF]])</f>
        <v/>
      </c>
      <c r="P437" s="287" t="str">
        <f>IF(Tableau3384[[#This Row],[Date du paiement]]="",$B$4-Tableau3384[[#This Row],[Écheance]],"")</f>
        <v/>
      </c>
      <c r="Q437" s="168" t="str">
        <f>IF(Tableau3384[[#This Row],[Date du paiement]]="",IF(Tableau3384[[#This Row],[jours jusqu''à l''écheance]]&gt;0,Tableau3384[[#This Row],[Montant
CHF]],""),"")</f>
        <v/>
      </c>
      <c r="R437" s="298" t="str">
        <f>IF(Tableau3384[[#This Row],[Date du paiement]]="",IF(Tableau3384[[#This Row],[jours jusqu''à l''écheance]]-($B$4-$B$11-1)&gt;0,Tableau3384[[#This Row],[Montant
CHF]],""),"")</f>
        <v/>
      </c>
      <c r="S437" s="142"/>
      <c r="T437" s="168" t="str">
        <f>IF(Tableau3384[[#This Row],[Paiements prevus]]="oui",Tableau3384[[#This Row],[Montant prevu à payer CH]],"")</f>
        <v/>
      </c>
      <c r="U437" s="177"/>
      <c r="V437" s="192" t="s">
        <v>735</v>
      </c>
      <c r="W437" s="190"/>
      <c r="X437" s="187">
        <v>45503</v>
      </c>
      <c r="Y437" s="181" t="s">
        <v>58</v>
      </c>
      <c r="Z437" s="120" t="str">
        <f>IF(Tableau3384[[#This Row],[Méthode du paiement]]="Mastercard","OUI","")</f>
        <v/>
      </c>
      <c r="AA437" s="180" t="s">
        <v>43</v>
      </c>
      <c r="AB437" s="180" t="s">
        <v>557</v>
      </c>
    </row>
    <row r="438" spans="1:28" s="184" customFormat="1" hidden="1" x14ac:dyDescent="0.25">
      <c r="A438" s="156" t="s">
        <v>1130</v>
      </c>
      <c r="B438" s="185">
        <v>45473</v>
      </c>
      <c r="C438" s="185">
        <v>45477</v>
      </c>
      <c r="D438" s="186" t="s">
        <v>74</v>
      </c>
      <c r="E438" s="183">
        <v>75.45</v>
      </c>
      <c r="F438" s="195">
        <v>8.1</v>
      </c>
      <c r="G438" s="193"/>
      <c r="H438" s="136">
        <f>Tableau3384[[#This Row],[Montant
CHF]]+Tableau3384[[#This Row],[Abzug/Spesen
CHF]]</f>
        <v>75.45</v>
      </c>
      <c r="I438" s="188"/>
      <c r="J438" s="189"/>
      <c r="K438" s="189"/>
      <c r="L438" s="298"/>
      <c r="M438" s="194"/>
      <c r="N438" s="185">
        <v>45503</v>
      </c>
      <c r="O438" s="282" t="str">
        <f>IF(Tableau3384[[#This Row],[Date du paiement]]&gt;0,"",Tableau3384[[#This Row],[Montant
CHF]])</f>
        <v/>
      </c>
      <c r="P438" s="287" t="str">
        <f>IF(Tableau3384[[#This Row],[Date du paiement]]="",$B$4-Tableau3384[[#This Row],[Écheance]],"")</f>
        <v/>
      </c>
      <c r="Q438" s="168" t="str">
        <f>IF(Tableau3384[[#This Row],[Date du paiement]]="",IF(Tableau3384[[#This Row],[jours jusqu''à l''écheance]]&gt;0,Tableau3384[[#This Row],[Montant
CHF]],""),"")</f>
        <v/>
      </c>
      <c r="R438" s="298" t="str">
        <f>IF(Tableau3384[[#This Row],[Date du paiement]]="",IF(Tableau3384[[#This Row],[jours jusqu''à l''écheance]]-($B$4-$B$11-1)&gt;0,Tableau3384[[#This Row],[Montant
CHF]],""),"")</f>
        <v/>
      </c>
      <c r="S438" s="142"/>
      <c r="T438" s="168" t="str">
        <f>IF(Tableau3384[[#This Row],[Paiements prevus]]="oui",Tableau3384[[#This Row],[Montant prevu à payer CH]],"")</f>
        <v/>
      </c>
      <c r="U438" s="177"/>
      <c r="V438" s="192" t="s">
        <v>738</v>
      </c>
      <c r="W438" s="190"/>
      <c r="X438" s="187">
        <v>45503</v>
      </c>
      <c r="Y438" s="181" t="s">
        <v>58</v>
      </c>
      <c r="Z438" s="120" t="str">
        <f>IF(Tableau3384[[#This Row],[Méthode du paiement]]="Mastercard","OUI","")</f>
        <v/>
      </c>
      <c r="AA438" s="180" t="s">
        <v>14</v>
      </c>
      <c r="AB438" s="180" t="s">
        <v>1131</v>
      </c>
    </row>
    <row r="439" spans="1:28" s="184" customFormat="1" hidden="1" x14ac:dyDescent="0.25">
      <c r="A439" s="156" t="s">
        <v>1127</v>
      </c>
      <c r="B439" s="185">
        <v>45473</v>
      </c>
      <c r="C439" s="185">
        <v>45477</v>
      </c>
      <c r="D439" s="186" t="s">
        <v>452</v>
      </c>
      <c r="E439" s="183">
        <v>194.6</v>
      </c>
      <c r="F439" s="195">
        <v>8.1</v>
      </c>
      <c r="G439" s="193"/>
      <c r="H439" s="136">
        <f>Tableau3384[[#This Row],[Montant
CHF]]+Tableau3384[[#This Row],[Abzug/Spesen
CHF]]</f>
        <v>194.6</v>
      </c>
      <c r="I439" s="188"/>
      <c r="J439" s="189"/>
      <c r="K439" s="189"/>
      <c r="L439" s="298"/>
      <c r="M439" s="194"/>
      <c r="N439" s="185">
        <v>45503</v>
      </c>
      <c r="O439" s="282" t="str">
        <f>IF(Tableau3384[[#This Row],[Date du paiement]]&gt;0,"",Tableau3384[[#This Row],[Montant
CHF]])</f>
        <v/>
      </c>
      <c r="P439" s="287" t="str">
        <f>IF(Tableau3384[[#This Row],[Date du paiement]]="",$B$4-Tableau3384[[#This Row],[Écheance]],"")</f>
        <v/>
      </c>
      <c r="Q439" s="168" t="str">
        <f>IF(Tableau3384[[#This Row],[Date du paiement]]="",IF(Tableau3384[[#This Row],[jours jusqu''à l''écheance]]&gt;0,Tableau3384[[#This Row],[Montant
CHF]],""),"")</f>
        <v/>
      </c>
      <c r="R439" s="298" t="str">
        <f>IF(Tableau3384[[#This Row],[Date du paiement]]="",IF(Tableau3384[[#This Row],[jours jusqu''à l''écheance]]-($B$4-$B$11-1)&gt;0,Tableau3384[[#This Row],[Montant
CHF]],""),"")</f>
        <v/>
      </c>
      <c r="S439" s="142"/>
      <c r="T439" s="168" t="str">
        <f>IF(Tableau3384[[#This Row],[Paiements prevus]]="oui",Tableau3384[[#This Row],[Montant prevu à payer CH]],"")</f>
        <v/>
      </c>
      <c r="U439" s="177"/>
      <c r="V439" s="192" t="s">
        <v>738</v>
      </c>
      <c r="W439" s="190"/>
      <c r="X439" s="187">
        <v>45503</v>
      </c>
      <c r="Y439" s="181" t="s">
        <v>58</v>
      </c>
      <c r="Z439" s="120" t="str">
        <f>IF(Tableau3384[[#This Row],[Méthode du paiement]]="Mastercard","OUI","")</f>
        <v/>
      </c>
      <c r="AA439" s="180" t="s">
        <v>294</v>
      </c>
      <c r="AB439" s="180" t="s">
        <v>1128</v>
      </c>
    </row>
    <row r="440" spans="1:28" s="184" customFormat="1" hidden="1" x14ac:dyDescent="0.25">
      <c r="A440" s="437" t="s">
        <v>1156</v>
      </c>
      <c r="B440" s="185">
        <v>45473</v>
      </c>
      <c r="C440" s="185">
        <v>45482</v>
      </c>
      <c r="D440" s="186" t="s">
        <v>162</v>
      </c>
      <c r="E440" s="183">
        <v>61.4</v>
      </c>
      <c r="F440" s="195">
        <v>8.1</v>
      </c>
      <c r="G440" s="193"/>
      <c r="H440" s="136">
        <f>Tableau3384[[#This Row],[Montant
CHF]]+Tableau3384[[#This Row],[Abzug/Spesen
CHF]]</f>
        <v>61.4</v>
      </c>
      <c r="I440" s="188"/>
      <c r="J440" s="189"/>
      <c r="K440" s="189"/>
      <c r="L440" s="298"/>
      <c r="M440" s="194"/>
      <c r="N440" s="185">
        <v>45503</v>
      </c>
      <c r="O440" s="282" t="str">
        <f>IF(Tableau3384[[#This Row],[Date du paiement]]&gt;0,"",Tableau3384[[#This Row],[Montant
CHF]])</f>
        <v/>
      </c>
      <c r="P440" s="287" t="str">
        <f>IF(Tableau3384[[#This Row],[Date du paiement]]="",$B$4-Tableau3384[[#This Row],[Écheance]],"")</f>
        <v/>
      </c>
      <c r="Q440" s="168" t="str">
        <f>IF(Tableau3384[[#This Row],[Date du paiement]]="",IF(Tableau3384[[#This Row],[jours jusqu''à l''écheance]]&gt;0,Tableau3384[[#This Row],[Montant
CHF]],""),"")</f>
        <v/>
      </c>
      <c r="R440" s="298" t="str">
        <f>IF(Tableau3384[[#This Row],[Date du paiement]]="",IF(Tableau3384[[#This Row],[jours jusqu''à l''écheance]]-($B$4-$B$11-1)&gt;0,Tableau3384[[#This Row],[Montant
CHF]],""),"")</f>
        <v/>
      </c>
      <c r="S440" s="142"/>
      <c r="T440" s="168" t="str">
        <f>IF(Tableau3384[[#This Row],[Paiements prevus]]="oui",Tableau3384[[#This Row],[Montant prevu à payer CH]],"")</f>
        <v/>
      </c>
      <c r="U440" s="177"/>
      <c r="V440" s="192" t="s">
        <v>735</v>
      </c>
      <c r="W440" s="190"/>
      <c r="X440" s="187">
        <v>45503</v>
      </c>
      <c r="Y440" s="181" t="s">
        <v>58</v>
      </c>
      <c r="Z440" s="120" t="str">
        <f>IF(Tableau3384[[#This Row],[Méthode du paiement]]="Mastercard","OUI","")</f>
        <v/>
      </c>
      <c r="AA440" s="180" t="s">
        <v>43</v>
      </c>
      <c r="AB440" s="180" t="s">
        <v>557</v>
      </c>
    </row>
    <row r="441" spans="1:28" s="184" customFormat="1" hidden="1" x14ac:dyDescent="0.25">
      <c r="A441" s="437" t="s">
        <v>357</v>
      </c>
      <c r="B441" s="185">
        <v>45473</v>
      </c>
      <c r="C441" s="185">
        <v>45523</v>
      </c>
      <c r="D441" s="186" t="s">
        <v>186</v>
      </c>
      <c r="E441" s="183">
        <f>8453.14-3.53-0.67</f>
        <v>8448.9399999999987</v>
      </c>
      <c r="F441" s="195">
        <v>100</v>
      </c>
      <c r="G441" s="193"/>
      <c r="H441" s="136">
        <f>Tableau3384[[#This Row],[Montant
CHF]]+Tableau3384[[#This Row],[Abzug/Spesen
CHF]]</f>
        <v>8448.9399999999987</v>
      </c>
      <c r="I441" s="188"/>
      <c r="J441" s="189"/>
      <c r="K441" s="189"/>
      <c r="L441" s="298"/>
      <c r="M441" s="194"/>
      <c r="N441" s="185">
        <v>45535</v>
      </c>
      <c r="O441" s="282" t="str">
        <f>IF(Tableau3384[[#This Row],[Date du paiement]]&gt;0,"",Tableau3384[[#This Row],[Montant
CHF]])</f>
        <v/>
      </c>
      <c r="P441" s="287" t="str">
        <f>IF(Tableau3384[[#This Row],[Date du paiement]]="",$B$4-Tableau3384[[#This Row],[Écheance]],"")</f>
        <v/>
      </c>
      <c r="Q441" s="168" t="str">
        <f>IF(Tableau3384[[#This Row],[Date du paiement]]="",IF(Tableau3384[[#This Row],[jours jusqu''à l''écheance]]&gt;0,Tableau3384[[#This Row],[Montant
CHF]],""),"")</f>
        <v/>
      </c>
      <c r="R441" s="298" t="str">
        <f>IF(Tableau3384[[#This Row],[Date du paiement]]="",IF(Tableau3384[[#This Row],[jours jusqu''à l''écheance]]-($B$4-$B$11-1)&gt;0,Tableau3384[[#This Row],[Montant
CHF]],""),"")</f>
        <v/>
      </c>
      <c r="S441" s="142"/>
      <c r="T441" s="168" t="str">
        <f>IF(Tableau3384[[#This Row],[Paiements prevus]]="oui",Tableau3384[[#This Row],[Montant prevu à payer CH]],"")</f>
        <v/>
      </c>
      <c r="U441" s="177"/>
      <c r="V441" s="192" t="s">
        <v>1075</v>
      </c>
      <c r="W441" s="190"/>
      <c r="X441" s="187">
        <v>45534</v>
      </c>
      <c r="Y441" s="181" t="s">
        <v>58</v>
      </c>
      <c r="Z441" s="120" t="str">
        <f>IF(Tableau3384[[#This Row],[Méthode du paiement]]="Mastercard","OUI","")</f>
        <v/>
      </c>
      <c r="AA441" s="451" t="s">
        <v>604</v>
      </c>
      <c r="AB441" s="180" t="s">
        <v>357</v>
      </c>
    </row>
    <row r="442" spans="1:28" s="184" customFormat="1" hidden="1" x14ac:dyDescent="0.25">
      <c r="A442" s="182" t="s">
        <v>632</v>
      </c>
      <c r="B442" s="185">
        <v>45474</v>
      </c>
      <c r="C442" s="185">
        <v>45292</v>
      </c>
      <c r="D442" s="186" t="s">
        <v>3</v>
      </c>
      <c r="E442" s="183">
        <v>3438</v>
      </c>
      <c r="F442" s="195">
        <v>0</v>
      </c>
      <c r="G442" s="193"/>
      <c r="H442" s="136">
        <f>Tableau3384[[#This Row],[Montant
CHF]]+Tableau3384[[#This Row],[Abzug/Spesen
CHF]]</f>
        <v>3438</v>
      </c>
      <c r="I442" s="188"/>
      <c r="J442" s="189"/>
      <c r="K442" s="189"/>
      <c r="L442" s="298"/>
      <c r="M442" s="194"/>
      <c r="N442" s="185">
        <v>45474</v>
      </c>
      <c r="O442" s="282" t="str">
        <f>IF(Tableau3384[[#This Row],[Date du paiement]]&gt;0,"",Tableau3384[[#This Row],[Montant
CHF]])</f>
        <v/>
      </c>
      <c r="P442" s="474" t="str">
        <f>IF(Tableau3384[[#This Row],[Date du paiement]]="",$B$4-Tableau3384[[#This Row],[Écheance]],"")</f>
        <v/>
      </c>
      <c r="Q442" s="168" t="str">
        <f>IF(Tableau3384[[#This Row],[Date du paiement]]="",IF(Tableau3384[[#This Row],[jours jusqu''à l''écheance]]&gt;0,Tableau3384[[#This Row],[Montant
CHF]],""),"")</f>
        <v/>
      </c>
      <c r="R442" s="298" t="str">
        <f>IF(Tableau3384[[#This Row],[Date du paiement]]="",IF(Tableau3384[[#This Row],[jours jusqu''à l''écheance]]-($B$4-$B$11-1)&gt;0,Tableau3384[[#This Row],[Montant
CHF]],""),"")</f>
        <v/>
      </c>
      <c r="S442" s="142"/>
      <c r="T442" s="168" t="str">
        <f>IF(Tableau3384[[#This Row],[Paiements prevus]]="oui",Tableau3384[[#This Row],[Montant prevu à payer CH]],"")</f>
        <v/>
      </c>
      <c r="U442" s="177"/>
      <c r="V442" s="192" t="s">
        <v>735</v>
      </c>
      <c r="W442" s="190"/>
      <c r="X442" s="187">
        <v>45483</v>
      </c>
      <c r="Y442" s="181" t="s">
        <v>58</v>
      </c>
      <c r="Z442" s="120" t="str">
        <f>IF(Tableau3384[[#This Row],[Méthode du paiement]]="Mastercard","OUI","")</f>
        <v/>
      </c>
      <c r="AA442" s="180" t="s">
        <v>6</v>
      </c>
      <c r="AB442" s="180" t="s">
        <v>709</v>
      </c>
    </row>
    <row r="443" spans="1:28" s="184" customFormat="1" hidden="1" x14ac:dyDescent="0.25">
      <c r="A443" s="182">
        <v>1245742</v>
      </c>
      <c r="B443" s="185">
        <v>45474</v>
      </c>
      <c r="C443" s="185">
        <v>45292</v>
      </c>
      <c r="D443" s="186" t="s">
        <v>2</v>
      </c>
      <c r="E443" s="183">
        <v>1523.55</v>
      </c>
      <c r="F443" s="195">
        <v>8.1</v>
      </c>
      <c r="G443" s="193"/>
      <c r="H443" s="136">
        <f>Tableau3384[[#This Row],[Montant
CHF]]+Tableau3384[[#This Row],[Abzug/Spesen
CHF]]</f>
        <v>1523.55</v>
      </c>
      <c r="I443" s="188"/>
      <c r="J443" s="189"/>
      <c r="K443" s="189"/>
      <c r="L443" s="298"/>
      <c r="M443" s="194"/>
      <c r="N443" s="185">
        <v>45474</v>
      </c>
      <c r="O443" s="282" t="str">
        <f>IF(Tableau3384[[#This Row],[Date du paiement]]&gt;0,"",Tableau3384[[#This Row],[Montant
CHF]])</f>
        <v/>
      </c>
      <c r="P443" s="474" t="str">
        <f>IF(Tableau3384[[#This Row],[Date du paiement]]="",$B$4-Tableau3384[[#This Row],[Écheance]],"")</f>
        <v/>
      </c>
      <c r="Q443" s="168" t="str">
        <f>IF(Tableau3384[[#This Row],[Date du paiement]]="",IF(Tableau3384[[#This Row],[jours jusqu''à l''écheance]]&gt;0,Tableau3384[[#This Row],[Montant
CHF]],""),"")</f>
        <v/>
      </c>
      <c r="R443" s="298" t="str">
        <f>IF(Tableau3384[[#This Row],[Date du paiement]]="",IF(Tableau3384[[#This Row],[jours jusqu''à l''écheance]]-($B$4-$B$11-1)&gt;0,Tableau3384[[#This Row],[Montant
CHF]],""),"")</f>
        <v/>
      </c>
      <c r="S443" s="142"/>
      <c r="T443" s="168" t="str">
        <f>IF(Tableau3384[[#This Row],[Paiements prevus]]="oui",Tableau3384[[#This Row],[Montant prevu à payer CH]],"")</f>
        <v/>
      </c>
      <c r="U443" s="177"/>
      <c r="V443" s="192" t="s">
        <v>735</v>
      </c>
      <c r="W443" s="190"/>
      <c r="X443" s="187">
        <v>45477</v>
      </c>
      <c r="Y443" s="181" t="s">
        <v>58</v>
      </c>
      <c r="Z443" s="120" t="str">
        <f>IF(Tableau3384[[#This Row],[Méthode du paiement]]="Mastercard","OUI","")</f>
        <v/>
      </c>
      <c r="AA443" s="435" t="s">
        <v>1162</v>
      </c>
      <c r="AB443" s="180" t="s">
        <v>709</v>
      </c>
    </row>
    <row r="444" spans="1:28" s="184" customFormat="1" hidden="1" x14ac:dyDescent="0.25">
      <c r="A444" s="182">
        <v>214112</v>
      </c>
      <c r="B444" s="185">
        <v>45474</v>
      </c>
      <c r="C444" s="185">
        <v>45425</v>
      </c>
      <c r="D444" s="186" t="s">
        <v>7</v>
      </c>
      <c r="E444" s="183">
        <v>11585</v>
      </c>
      <c r="F444" s="195">
        <v>0</v>
      </c>
      <c r="G444" s="193"/>
      <c r="H444" s="136">
        <f>Tableau3384[[#This Row],[Montant
CHF]]+Tableau3384[[#This Row],[Abzug/Spesen
CHF]]</f>
        <v>11585</v>
      </c>
      <c r="I444" s="188"/>
      <c r="J444" s="189"/>
      <c r="K444" s="189"/>
      <c r="L444" s="298"/>
      <c r="M444" s="194"/>
      <c r="N444" s="185">
        <v>45474</v>
      </c>
      <c r="O444" s="282" t="str">
        <f>IF(Tableau3384[[#This Row],[Date du paiement]]&gt;0,"",Tableau3384[[#This Row],[Montant
CHF]])</f>
        <v/>
      </c>
      <c r="P444" s="276" t="str">
        <f>IF(Tableau3384[[#This Row],[Date du paiement]]="",$B$4-Tableau3384[[#This Row],[Écheance]],"")</f>
        <v/>
      </c>
      <c r="Q444" s="168" t="str">
        <f>IF(Tableau3384[[#This Row],[Date du paiement]]="",IF(Tableau3384[[#This Row],[jours jusqu''à l''écheance]]&gt;0,Tableau3384[[#This Row],[Montant
CHF]],""),"")</f>
        <v/>
      </c>
      <c r="R444" s="298" t="str">
        <f>IF(Tableau3384[[#This Row],[Date du paiement]]="",IF(Tableau3384[[#This Row],[jours jusqu''à l''écheance]]-($B$4-$B$11-1)&gt;0,Tableau3384[[#This Row],[Montant
CHF]],""),"")</f>
        <v/>
      </c>
      <c r="S444" s="142"/>
      <c r="T444" s="168" t="str">
        <f>IF(Tableau3384[[#This Row],[Paiements prevus]]="oui",Tableau3384[[#This Row],[Montant prevu à payer CH]],"")</f>
        <v/>
      </c>
      <c r="U444" s="177"/>
      <c r="V444" s="192" t="s">
        <v>735</v>
      </c>
      <c r="W444" s="190"/>
      <c r="X444" s="187">
        <v>45481</v>
      </c>
      <c r="Y444" s="181" t="s">
        <v>58</v>
      </c>
      <c r="Z444" s="120" t="str">
        <f>IF(Tableau3384[[#This Row],[Méthode du paiement]]="Mastercard","OUI","")</f>
        <v/>
      </c>
      <c r="AA444" s="180" t="s">
        <v>6</v>
      </c>
      <c r="AB444" s="180" t="s">
        <v>709</v>
      </c>
    </row>
    <row r="445" spans="1:28" s="184" customFormat="1" hidden="1" x14ac:dyDescent="0.25">
      <c r="A445" s="182" t="s">
        <v>1102</v>
      </c>
      <c r="B445" s="185">
        <v>45474</v>
      </c>
      <c r="C445" s="185">
        <v>45474</v>
      </c>
      <c r="D445" s="186" t="s">
        <v>46</v>
      </c>
      <c r="E445" s="183">
        <v>597.79</v>
      </c>
      <c r="F445" s="195">
        <v>8.1</v>
      </c>
      <c r="G445" s="193"/>
      <c r="H445" s="136">
        <f>Tableau3384[[#This Row],[Montant
CHF]]+Tableau3384[[#This Row],[Abzug/Spesen
CHF]]</f>
        <v>597.79</v>
      </c>
      <c r="I445" s="188"/>
      <c r="J445" s="189"/>
      <c r="K445" s="189"/>
      <c r="L445" s="298"/>
      <c r="M445" s="194"/>
      <c r="N445" s="185">
        <v>45504</v>
      </c>
      <c r="O445" s="282" t="str">
        <f>IF(Tableau3384[[#This Row],[Date du paiement]]&gt;0,"",Tableau3384[[#This Row],[Montant
CHF]])</f>
        <v/>
      </c>
      <c r="P445" s="475" t="str">
        <f>IF(Tableau3384[[#This Row],[Date du paiement]]="",$B$4-Tableau3384[[#This Row],[Écheance]],"")</f>
        <v/>
      </c>
      <c r="Q445" s="168" t="str">
        <f>IF(Tableau3384[[#This Row],[Date du paiement]]="",IF(Tableau3384[[#This Row],[jours jusqu''à l''écheance]]&gt;0,Tableau3384[[#This Row],[Montant
CHF]],""),"")</f>
        <v/>
      </c>
      <c r="R445" s="298" t="str">
        <f>IF(Tableau3384[[#This Row],[Date du paiement]]="",IF(Tableau3384[[#This Row],[jours jusqu''à l''écheance]]-($B$4-$B$11-1)&gt;0,Tableau3384[[#This Row],[Montant
CHF]],""),"")</f>
        <v/>
      </c>
      <c r="S445" s="142"/>
      <c r="T445" s="168" t="str">
        <f>IF(Tableau3384[[#This Row],[Paiements prevus]]="oui",Tableau3384[[#This Row],[Montant prevu à payer CH]],"")</f>
        <v/>
      </c>
      <c r="U445" s="177"/>
      <c r="V445" s="192" t="s">
        <v>735</v>
      </c>
      <c r="W445" s="190"/>
      <c r="X445" s="187">
        <v>45510</v>
      </c>
      <c r="Y445" s="181" t="s">
        <v>58</v>
      </c>
      <c r="Z445" s="120" t="str">
        <f>IF(Tableau3384[[#This Row],[Méthode du paiement]]="Mastercard","OUI","")</f>
        <v/>
      </c>
      <c r="AA445" s="180" t="s">
        <v>30</v>
      </c>
      <c r="AB445" s="180" t="s">
        <v>709</v>
      </c>
    </row>
    <row r="446" spans="1:28" s="184" customFormat="1" hidden="1" x14ac:dyDescent="0.25">
      <c r="A446" s="182" t="s">
        <v>1100</v>
      </c>
      <c r="B446" s="185">
        <v>45474</v>
      </c>
      <c r="C446" s="185">
        <v>45475</v>
      </c>
      <c r="D446" s="186" t="s">
        <v>362</v>
      </c>
      <c r="E446" s="183">
        <v>3453.8</v>
      </c>
      <c r="F446" s="195">
        <v>8.1</v>
      </c>
      <c r="G446" s="193"/>
      <c r="H446" s="136">
        <f>Tableau3384[[#This Row],[Montant
CHF]]+Tableau3384[[#This Row],[Abzug/Spesen
CHF]]</f>
        <v>3453.8</v>
      </c>
      <c r="I446" s="188"/>
      <c r="J446" s="189"/>
      <c r="K446" s="189"/>
      <c r="L446" s="298"/>
      <c r="M446" s="194" t="s">
        <v>1104</v>
      </c>
      <c r="N446" s="185">
        <v>45504</v>
      </c>
      <c r="O446" s="282" t="str">
        <f>IF(Tableau3384[[#This Row],[Date du paiement]]&gt;0,"",Tableau3384[[#This Row],[Montant
CHF]])</f>
        <v/>
      </c>
      <c r="P446" s="475" t="str">
        <f>IF(Tableau3384[[#This Row],[Date du paiement]]="",$B$4-Tableau3384[[#This Row],[Écheance]],"")</f>
        <v/>
      </c>
      <c r="Q446" s="168" t="str">
        <f>IF(Tableau3384[[#This Row],[Date du paiement]]="",IF(Tableau3384[[#This Row],[jours jusqu''à l''écheance]]&gt;0,Tableau3384[[#This Row],[Montant
CHF]],""),"")</f>
        <v/>
      </c>
      <c r="R446" s="298" t="str">
        <f>IF(Tableau3384[[#This Row],[Date du paiement]]="",IF(Tableau3384[[#This Row],[jours jusqu''à l''écheance]]-($B$4-$B$11-1)&gt;0,Tableau3384[[#This Row],[Montant
CHF]],""),"")</f>
        <v/>
      </c>
      <c r="S446" s="142"/>
      <c r="T446" s="168" t="str">
        <f>IF(Tableau3384[[#This Row],[Paiements prevus]]="oui",Tableau3384[[#This Row],[Montant prevu à payer CH]],"")</f>
        <v/>
      </c>
      <c r="U446" s="177"/>
      <c r="V446" s="192" t="s">
        <v>735</v>
      </c>
      <c r="W446" s="190"/>
      <c r="X446" s="187">
        <v>45499</v>
      </c>
      <c r="Y446" s="181" t="s">
        <v>58</v>
      </c>
      <c r="Z446" s="120" t="str">
        <f>IF(Tableau3384[[#This Row],[Méthode du paiement]]="Mastercard","OUI","")</f>
        <v/>
      </c>
      <c r="AA446" s="180" t="s">
        <v>4</v>
      </c>
      <c r="AB446" s="180" t="s">
        <v>1101</v>
      </c>
    </row>
    <row r="447" spans="1:28" s="184" customFormat="1" hidden="1" x14ac:dyDescent="0.25">
      <c r="A447" s="182" t="s">
        <v>1111</v>
      </c>
      <c r="B447" s="185">
        <v>45474</v>
      </c>
      <c r="C447" s="185">
        <v>45475</v>
      </c>
      <c r="D447" s="186" t="s">
        <v>216</v>
      </c>
      <c r="E447" s="183">
        <v>1003.2</v>
      </c>
      <c r="F447" s="195">
        <v>100</v>
      </c>
      <c r="G447" s="193"/>
      <c r="H447" s="136">
        <f>Tableau3384[[#This Row],[Montant
CHF]]+Tableau3384[[#This Row],[Abzug/Spesen
CHF]]</f>
        <v>1003.2</v>
      </c>
      <c r="I447" s="188"/>
      <c r="J447" s="189"/>
      <c r="K447" s="189"/>
      <c r="L447" s="298"/>
      <c r="M447" s="194" t="s">
        <v>830</v>
      </c>
      <c r="N447" s="185">
        <v>45534</v>
      </c>
      <c r="O447" s="282" t="str">
        <f>IF(Tableau3384[[#This Row],[Date du paiement]]&gt;0,"",Tableau3384[[#This Row],[Montant
CHF]])</f>
        <v/>
      </c>
      <c r="P447" s="287" t="str">
        <f>IF(Tableau3384[[#This Row],[Date du paiement]]="",$B$4-Tableau3384[[#This Row],[Écheance]],"")</f>
        <v/>
      </c>
      <c r="Q447" s="168" t="str">
        <f>IF(Tableau3384[[#This Row],[Date du paiement]]="",IF(Tableau3384[[#This Row],[jours jusqu''à l''écheance]]&gt;0,Tableau3384[[#This Row],[Montant
CHF]],""),"")</f>
        <v/>
      </c>
      <c r="R447" s="298" t="str">
        <f>IF(Tableau3384[[#This Row],[Date du paiement]]="",IF(Tableau3384[[#This Row],[jours jusqu''à l''écheance]]-($B$4-$B$11-1)&gt;0,Tableau3384[[#This Row],[Montant
CHF]],""),"")</f>
        <v/>
      </c>
      <c r="S447" s="142"/>
      <c r="T447" s="168" t="str">
        <f>IF(Tableau3384[[#This Row],[Paiements prevus]]="oui",Tableau3384[[#This Row],[Montant prevu à payer CH]],"")</f>
        <v/>
      </c>
      <c r="U447" s="177"/>
      <c r="V447" s="192" t="s">
        <v>736</v>
      </c>
      <c r="W447" s="190"/>
      <c r="X447" s="187">
        <v>45538</v>
      </c>
      <c r="Y447" s="181" t="s">
        <v>58</v>
      </c>
      <c r="Z447" s="120" t="str">
        <f>IF(Tableau3384[[#This Row],[Méthode du paiement]]="Mastercard","OUI","")</f>
        <v/>
      </c>
      <c r="AA447" s="180" t="s">
        <v>604</v>
      </c>
      <c r="AB447" s="180" t="s">
        <v>1112</v>
      </c>
    </row>
    <row r="448" spans="1:28" s="184" customFormat="1" hidden="1" x14ac:dyDescent="0.25">
      <c r="A448" s="156" t="s">
        <v>1126</v>
      </c>
      <c r="B448" s="185">
        <v>45474</v>
      </c>
      <c r="C448" s="185">
        <v>45477</v>
      </c>
      <c r="D448" s="155" t="s">
        <v>130</v>
      </c>
      <c r="E448" s="183">
        <v>70.25</v>
      </c>
      <c r="F448" s="195">
        <v>8.1</v>
      </c>
      <c r="G448" s="193"/>
      <c r="H448" s="136">
        <f>Tableau3384[[#This Row],[Montant
CHF]]+Tableau3384[[#This Row],[Abzug/Spesen
CHF]]</f>
        <v>70.25</v>
      </c>
      <c r="I448" s="188"/>
      <c r="J448" s="189"/>
      <c r="K448" s="189"/>
      <c r="L448" s="298"/>
      <c r="M448" s="194"/>
      <c r="N448" s="185">
        <v>45504</v>
      </c>
      <c r="O448" s="282" t="str">
        <f>IF(Tableau3384[[#This Row],[Date du paiement]]&gt;0,"",Tableau3384[[#This Row],[Montant
CHF]])</f>
        <v/>
      </c>
      <c r="P448" s="287" t="str">
        <f>IF(Tableau3384[[#This Row],[Date du paiement]]="",$B$4-Tableau3384[[#This Row],[Écheance]],"")</f>
        <v/>
      </c>
      <c r="Q448" s="168" t="str">
        <f>IF(Tableau3384[[#This Row],[Date du paiement]]="",IF(Tableau3384[[#This Row],[jours jusqu''à l''écheance]]&gt;0,Tableau3384[[#This Row],[Montant
CHF]],""),"")</f>
        <v/>
      </c>
      <c r="R448" s="298" t="str">
        <f>IF(Tableau3384[[#This Row],[Date du paiement]]="",IF(Tableau3384[[#This Row],[jours jusqu''à l''écheance]]-($B$4-$B$11-1)&gt;0,Tableau3384[[#This Row],[Montant
CHF]],""),"")</f>
        <v/>
      </c>
      <c r="S448" s="142"/>
      <c r="T448" s="168" t="str">
        <f>IF(Tableau3384[[#This Row],[Paiements prevus]]="oui",Tableau3384[[#This Row],[Montant prevu à payer CH]],"")</f>
        <v/>
      </c>
      <c r="U448" s="177"/>
      <c r="V448" s="192" t="s">
        <v>735</v>
      </c>
      <c r="W448" s="190"/>
      <c r="X448" s="187">
        <v>45510</v>
      </c>
      <c r="Y448" s="181" t="s">
        <v>58</v>
      </c>
      <c r="Z448" s="120" t="str">
        <f>IF(Tableau3384[[#This Row],[Méthode du paiement]]="Mastercard","OUI","")</f>
        <v/>
      </c>
      <c r="AA448" s="180" t="s">
        <v>30</v>
      </c>
      <c r="AB448" s="180" t="s">
        <v>557</v>
      </c>
    </row>
    <row r="449" spans="1:28" s="184" customFormat="1" hidden="1" x14ac:dyDescent="0.25">
      <c r="A449" s="182" t="s">
        <v>1203</v>
      </c>
      <c r="B449" s="185">
        <v>45474</v>
      </c>
      <c r="C449" s="185">
        <v>45489</v>
      </c>
      <c r="D449" s="186" t="s">
        <v>220</v>
      </c>
      <c r="E449" s="183">
        <v>19702.400000000001</v>
      </c>
      <c r="F449" s="195">
        <v>8.1</v>
      </c>
      <c r="G449" s="193"/>
      <c r="H449" s="136">
        <f>Tableau3384[[#This Row],[Montant
CHF]]+Tableau3384[[#This Row],[Abzug/Spesen
CHF]]</f>
        <v>19702.400000000001</v>
      </c>
      <c r="I449" s="188"/>
      <c r="J449" s="189"/>
      <c r="K449" s="189"/>
      <c r="L449" s="298"/>
      <c r="M449" s="194"/>
      <c r="N449" s="185">
        <v>45504</v>
      </c>
      <c r="O449" s="282" t="str">
        <f>IF(Tableau3384[[#This Row],[Date du paiement]]&gt;0,"",Tableau3384[[#This Row],[Montant
CHF]])</f>
        <v/>
      </c>
      <c r="P449" s="287" t="str">
        <f>IF(Tableau3384[[#This Row],[Date du paiement]]="",$B$4-Tableau3384[[#This Row],[Écheance]],"")</f>
        <v/>
      </c>
      <c r="Q449" s="168" t="str">
        <f>IF(Tableau3384[[#This Row],[Date du paiement]]="",IF(Tableau3384[[#This Row],[jours jusqu''à l''écheance]]&gt;0,Tableau3384[[#This Row],[Montant
CHF]],""),"")</f>
        <v/>
      </c>
      <c r="R449" s="298" t="str">
        <f>IF(Tableau3384[[#This Row],[Date du paiement]]="",IF(Tableau3384[[#This Row],[jours jusqu''à l''écheance]]-($B$4-$B$11-1)&gt;0,Tableau3384[[#This Row],[Montant
CHF]],""),"")</f>
        <v/>
      </c>
      <c r="S449" s="142"/>
      <c r="T449" s="168" t="str">
        <f>IF(Tableau3384[[#This Row],[Paiements prevus]]="oui",Tableau3384[[#This Row],[Montant prevu à payer CH]],"")</f>
        <v/>
      </c>
      <c r="U449" s="177"/>
      <c r="V449" s="192" t="s">
        <v>735</v>
      </c>
      <c r="W449" s="190"/>
      <c r="X449" s="187">
        <v>45498</v>
      </c>
      <c r="Y449" s="181" t="s">
        <v>345</v>
      </c>
      <c r="Z449" s="120" t="str">
        <f>IF(Tableau3384[[#This Row],[Méthode du paiement]]="Mastercard","OUI","")</f>
        <v/>
      </c>
      <c r="AA449" s="180" t="s">
        <v>221</v>
      </c>
      <c r="AB449" s="180" t="s">
        <v>557</v>
      </c>
    </row>
    <row r="450" spans="1:28" s="184" customFormat="1" hidden="1" x14ac:dyDescent="0.25">
      <c r="A450" s="437" t="s">
        <v>1113</v>
      </c>
      <c r="B450" s="185">
        <v>45475</v>
      </c>
      <c r="C450" s="185">
        <v>45475</v>
      </c>
      <c r="D450" s="440" t="s">
        <v>29</v>
      </c>
      <c r="E450" s="183">
        <v>1196.2</v>
      </c>
      <c r="F450" s="195">
        <v>8.1</v>
      </c>
      <c r="G450" s="193"/>
      <c r="H450" s="136">
        <f>Tableau3384[[#This Row],[Montant
CHF]]+Tableau3384[[#This Row],[Abzug/Spesen
CHF]]</f>
        <v>1196.2</v>
      </c>
      <c r="I450" s="188"/>
      <c r="J450" s="189"/>
      <c r="K450" s="189"/>
      <c r="L450" s="298"/>
      <c r="M450" s="194"/>
      <c r="N450" s="185">
        <v>45485</v>
      </c>
      <c r="O450" s="282" t="str">
        <f>IF(Tableau3384[[#This Row],[Date du paiement]]&gt;0,"",Tableau3384[[#This Row],[Montant
CHF]])</f>
        <v/>
      </c>
      <c r="P450" s="287" t="str">
        <f>IF(Tableau3384[[#This Row],[Date du paiement]]="",$B$4-Tableau3384[[#This Row],[Écheance]],"")</f>
        <v/>
      </c>
      <c r="Q450" s="168" t="str">
        <f>IF(Tableau3384[[#This Row],[Date du paiement]]="",IF(Tableau3384[[#This Row],[jours jusqu''à l''écheance]]&gt;0,Tableau3384[[#This Row],[Montant
CHF]],""),"")</f>
        <v/>
      </c>
      <c r="R450" s="298" t="str">
        <f>IF(Tableau3384[[#This Row],[Date du paiement]]="",IF(Tableau3384[[#This Row],[jours jusqu''à l''écheance]]-($B$4-$B$11-1)&gt;0,Tableau3384[[#This Row],[Montant
CHF]],""),"")</f>
        <v/>
      </c>
      <c r="S450" s="142"/>
      <c r="T450" s="168" t="str">
        <f>IF(Tableau3384[[#This Row],[Paiements prevus]]="oui",Tableau3384[[#This Row],[Montant prevu à payer CH]],"")</f>
        <v/>
      </c>
      <c r="U450" s="177"/>
      <c r="V450" s="192" t="s">
        <v>735</v>
      </c>
      <c r="W450" s="190"/>
      <c r="X450" s="187">
        <v>45513</v>
      </c>
      <c r="Y450" s="181" t="s">
        <v>58</v>
      </c>
      <c r="Z450" s="120" t="str">
        <f>IF(Tableau3384[[#This Row],[Méthode du paiement]]="Mastercard","OUI","")</f>
        <v/>
      </c>
      <c r="AA450" s="180" t="s">
        <v>30</v>
      </c>
      <c r="AB450" s="180" t="s">
        <v>717</v>
      </c>
    </row>
    <row r="451" spans="1:28" s="184" customFormat="1" hidden="1" x14ac:dyDescent="0.25">
      <c r="A451" s="182" t="s">
        <v>1114</v>
      </c>
      <c r="B451" s="185">
        <v>45475</v>
      </c>
      <c r="C451" s="185">
        <v>45475</v>
      </c>
      <c r="D451" s="186" t="s">
        <v>29</v>
      </c>
      <c r="E451" s="183">
        <v>376.2</v>
      </c>
      <c r="F451" s="195">
        <v>8.1</v>
      </c>
      <c r="G451" s="193"/>
      <c r="H451" s="136">
        <f>Tableau3384[[#This Row],[Montant
CHF]]+Tableau3384[[#This Row],[Abzug/Spesen
CHF]]</f>
        <v>376.2</v>
      </c>
      <c r="I451" s="188"/>
      <c r="J451" s="189"/>
      <c r="K451" s="189"/>
      <c r="L451" s="298"/>
      <c r="M451" s="194"/>
      <c r="N451" s="185">
        <v>45485</v>
      </c>
      <c r="O451" s="282" t="str">
        <f>IF(Tableau3384[[#This Row],[Date du paiement]]&gt;0,"",Tableau3384[[#This Row],[Montant
CHF]])</f>
        <v/>
      </c>
      <c r="P451" s="287" t="str">
        <f>IF(Tableau3384[[#This Row],[Date du paiement]]="",$B$4-Tableau3384[[#This Row],[Écheance]],"")</f>
        <v/>
      </c>
      <c r="Q451" s="168" t="str">
        <f>IF(Tableau3384[[#This Row],[Date du paiement]]="",IF(Tableau3384[[#This Row],[jours jusqu''à l''écheance]]&gt;0,Tableau3384[[#This Row],[Montant
CHF]],""),"")</f>
        <v/>
      </c>
      <c r="R451" s="298" t="str">
        <f>IF(Tableau3384[[#This Row],[Date du paiement]]="",IF(Tableau3384[[#This Row],[jours jusqu''à l''écheance]]-($B$4-$B$11-1)&gt;0,Tableau3384[[#This Row],[Montant
CHF]],""),"")</f>
        <v/>
      </c>
      <c r="S451" s="142"/>
      <c r="T451" s="168" t="str">
        <f>IF(Tableau3384[[#This Row],[Paiements prevus]]="oui",Tableau3384[[#This Row],[Montant prevu à payer CH]],"")</f>
        <v/>
      </c>
      <c r="U451" s="177"/>
      <c r="V451" s="192" t="s">
        <v>735</v>
      </c>
      <c r="W451" s="190"/>
      <c r="X451" s="187">
        <v>45510</v>
      </c>
      <c r="Y451" s="181" t="s">
        <v>58</v>
      </c>
      <c r="Z451" s="120" t="str">
        <f>IF(Tableau3384[[#This Row],[Méthode du paiement]]="Mastercard","OUI","")</f>
        <v/>
      </c>
      <c r="AA451" s="180" t="s">
        <v>30</v>
      </c>
      <c r="AB451" s="180" t="s">
        <v>1115</v>
      </c>
    </row>
    <row r="452" spans="1:28" s="184" customFormat="1" hidden="1" x14ac:dyDescent="0.25">
      <c r="A452" s="182" t="s">
        <v>1098</v>
      </c>
      <c r="B452" s="185">
        <v>45475</v>
      </c>
      <c r="C452" s="185">
        <v>45475</v>
      </c>
      <c r="D452" s="186" t="s">
        <v>1099</v>
      </c>
      <c r="E452" s="183">
        <v>248.65</v>
      </c>
      <c r="F452" s="195">
        <v>8.1</v>
      </c>
      <c r="G452" s="193"/>
      <c r="H452" s="136">
        <f>Tableau3384[[#This Row],[Montant
CHF]]+Tableau3384[[#This Row],[Abzug/Spesen
CHF]]</f>
        <v>248.65</v>
      </c>
      <c r="I452" s="188"/>
      <c r="J452" s="189"/>
      <c r="K452" s="189"/>
      <c r="L452" s="298"/>
      <c r="M452" s="194"/>
      <c r="N452" s="185">
        <v>45484</v>
      </c>
      <c r="O452" s="282" t="str">
        <f>IF(Tableau3384[[#This Row],[Date du paiement]]&gt;0,"",Tableau3384[[#This Row],[Montant
CHF]])</f>
        <v/>
      </c>
      <c r="P452" s="287" t="str">
        <f>IF(Tableau3384[[#This Row],[Date du paiement]]="",$B$4-Tableau3384[[#This Row],[Écheance]],"")</f>
        <v/>
      </c>
      <c r="Q452" s="168" t="str">
        <f>IF(Tableau3384[[#This Row],[Date du paiement]]="",IF(Tableau3384[[#This Row],[jours jusqu''à l''écheance]]&gt;0,Tableau3384[[#This Row],[Montant
CHF]],""),"")</f>
        <v/>
      </c>
      <c r="R452" s="298" t="str">
        <f>IF(Tableau3384[[#This Row],[Date du paiement]]="",IF(Tableau3384[[#This Row],[jours jusqu''à l''écheance]]-($B$4-$B$11-1)&gt;0,Tableau3384[[#This Row],[Montant
CHF]],""),"")</f>
        <v/>
      </c>
      <c r="S452" s="142"/>
      <c r="T452" s="168" t="str">
        <f>IF(Tableau3384[[#This Row],[Paiements prevus]]="oui",Tableau3384[[#This Row],[Montant prevu à payer CH]],"")</f>
        <v/>
      </c>
      <c r="U452" s="177"/>
      <c r="V452" s="192" t="s">
        <v>735</v>
      </c>
      <c r="W452" s="190"/>
      <c r="X452" s="187">
        <v>45510</v>
      </c>
      <c r="Y452" s="181" t="s">
        <v>58</v>
      </c>
      <c r="Z452" s="120" t="str">
        <f>IF(Tableau3384[[#This Row],[Méthode du paiement]]="Mastercard","OUI","")</f>
        <v/>
      </c>
      <c r="AA452" s="180" t="s">
        <v>43</v>
      </c>
      <c r="AB452" s="180" t="s">
        <v>1236</v>
      </c>
    </row>
    <row r="453" spans="1:28" s="184" customFormat="1" hidden="1" x14ac:dyDescent="0.25">
      <c r="A453" s="156" t="s">
        <v>1129</v>
      </c>
      <c r="B453" s="185">
        <v>45475</v>
      </c>
      <c r="C453" s="185">
        <v>45477</v>
      </c>
      <c r="D453" s="186" t="s">
        <v>50</v>
      </c>
      <c r="E453" s="183">
        <v>1176.75</v>
      </c>
      <c r="F453" s="195">
        <v>8.1</v>
      </c>
      <c r="G453" s="193"/>
      <c r="H453" s="136">
        <f>Tableau3384[[#This Row],[Montant
CHF]]+Tableau3384[[#This Row],[Abzug/Spesen
CHF]]</f>
        <v>1176.75</v>
      </c>
      <c r="I453" s="188"/>
      <c r="J453" s="189"/>
      <c r="K453" s="189"/>
      <c r="L453" s="298"/>
      <c r="M453" s="194"/>
      <c r="N453" s="185">
        <v>45504</v>
      </c>
      <c r="O453" s="282" t="str">
        <f>IF(Tableau3384[[#This Row],[Date du paiement]]&gt;0,"",Tableau3384[[#This Row],[Montant
CHF]])</f>
        <v/>
      </c>
      <c r="P453" s="287" t="str">
        <f>IF(Tableau3384[[#This Row],[Date du paiement]]="",$B$4-Tableau3384[[#This Row],[Écheance]],"")</f>
        <v/>
      </c>
      <c r="Q453" s="168" t="str">
        <f>IF(Tableau3384[[#This Row],[Date du paiement]]="",IF(Tableau3384[[#This Row],[jours jusqu''à l''écheance]]&gt;0,Tableau3384[[#This Row],[Montant
CHF]],""),"")</f>
        <v/>
      </c>
      <c r="R453" s="298" t="str">
        <f>IF(Tableau3384[[#This Row],[Date du paiement]]="",IF(Tableau3384[[#This Row],[jours jusqu''à l''écheance]]-($B$4-$B$11-1)&gt;0,Tableau3384[[#This Row],[Montant
CHF]],""),"")</f>
        <v/>
      </c>
      <c r="S453" s="142"/>
      <c r="T453" s="168" t="str">
        <f>IF(Tableau3384[[#This Row],[Paiements prevus]]="oui",Tableau3384[[#This Row],[Montant prevu à payer CH]],"")</f>
        <v/>
      </c>
      <c r="U453" s="177"/>
      <c r="V453" s="192" t="s">
        <v>735</v>
      </c>
      <c r="W453" s="190"/>
      <c r="X453" s="187">
        <v>45510</v>
      </c>
      <c r="Y453" s="181" t="s">
        <v>58</v>
      </c>
      <c r="Z453" s="120" t="str">
        <f>IF(Tableau3384[[#This Row],[Méthode du paiement]]="Mastercard","OUI","")</f>
        <v/>
      </c>
      <c r="AA453" s="180" t="s">
        <v>1431</v>
      </c>
      <c r="AB453" s="180" t="s">
        <v>557</v>
      </c>
    </row>
    <row r="454" spans="1:28" s="184" customFormat="1" hidden="1" x14ac:dyDescent="0.25">
      <c r="A454" s="182" t="s">
        <v>1065</v>
      </c>
      <c r="B454" s="185">
        <v>45476</v>
      </c>
      <c r="C454" s="185">
        <v>45477</v>
      </c>
      <c r="D454" s="186" t="s">
        <v>1066</v>
      </c>
      <c r="E454" s="183">
        <v>146.69999999999999</v>
      </c>
      <c r="F454" s="195">
        <v>8.1</v>
      </c>
      <c r="G454" s="193"/>
      <c r="H454" s="136">
        <f>Tableau3384[[#This Row],[Montant
CHF]]+Tableau3384[[#This Row],[Abzug/Spesen
CHF]]</f>
        <v>146.69999999999999</v>
      </c>
      <c r="I454" s="188"/>
      <c r="J454" s="189"/>
      <c r="K454" s="189"/>
      <c r="L454" s="298"/>
      <c r="M454" s="194" t="s">
        <v>1133</v>
      </c>
      <c r="N454" s="185">
        <v>45507</v>
      </c>
      <c r="O454" s="282" t="str">
        <f>IF(Tableau3384[[#This Row],[Date du paiement]]&gt;0,"",Tableau3384[[#This Row],[Montant
CHF]])</f>
        <v/>
      </c>
      <c r="P454" s="287" t="str">
        <f>IF(Tableau3384[[#This Row],[Date du paiement]]="",$B$4-Tableau3384[[#This Row],[Écheance]],"")</f>
        <v/>
      </c>
      <c r="Q454" s="168" t="str">
        <f>IF(Tableau3384[[#This Row],[Date du paiement]]="",IF(Tableau3384[[#This Row],[jours jusqu''à l''écheance]]&gt;0,Tableau3384[[#This Row],[Montant
CHF]],""),"")</f>
        <v/>
      </c>
      <c r="R454" s="298" t="str">
        <f>IF(Tableau3384[[#This Row],[Date du paiement]]="",IF(Tableau3384[[#This Row],[jours jusqu''à l''écheance]]-($B$4-$B$11-1)&gt;0,Tableau3384[[#This Row],[Montant
CHF]],""),"")</f>
        <v/>
      </c>
      <c r="S454" s="142"/>
      <c r="T454" s="168" t="str">
        <f>IF(Tableau3384[[#This Row],[Paiements prevus]]="oui",Tableau3384[[#This Row],[Montant prevu à payer CH]],"")</f>
        <v/>
      </c>
      <c r="U454" s="177"/>
      <c r="V454" s="192" t="s">
        <v>735</v>
      </c>
      <c r="W454" s="190"/>
      <c r="X454" s="187">
        <v>45510</v>
      </c>
      <c r="Y454" s="181" t="s">
        <v>58</v>
      </c>
      <c r="Z454" s="120" t="str">
        <f>IF(Tableau3384[[#This Row],[Méthode du paiement]]="Mastercard","OUI","")</f>
        <v/>
      </c>
      <c r="AA454" s="180" t="s">
        <v>43</v>
      </c>
      <c r="AB454" s="180" t="s">
        <v>1067</v>
      </c>
    </row>
    <row r="455" spans="1:28" s="184" customFormat="1" hidden="1" x14ac:dyDescent="0.25">
      <c r="A455" s="156" t="s">
        <v>1125</v>
      </c>
      <c r="B455" s="185">
        <v>45476</v>
      </c>
      <c r="C455" s="185">
        <v>45477</v>
      </c>
      <c r="D455" s="186" t="s">
        <v>48</v>
      </c>
      <c r="E455" s="183">
        <v>52.05</v>
      </c>
      <c r="F455" s="195">
        <v>8.1</v>
      </c>
      <c r="G455" s="193"/>
      <c r="H455" s="136">
        <f>Tableau3384[[#This Row],[Montant
CHF]]+Tableau3384[[#This Row],[Abzug/Spesen
CHF]]</f>
        <v>52.05</v>
      </c>
      <c r="I455" s="188"/>
      <c r="J455" s="189"/>
      <c r="K455" s="189"/>
      <c r="L455" s="298"/>
      <c r="M455" s="194"/>
      <c r="N455" s="185">
        <v>45496</v>
      </c>
      <c r="O455" s="282" t="str">
        <f>IF(Tableau3384[[#This Row],[Date du paiement]]&gt;0,"",Tableau3384[[#This Row],[Montant
CHF]])</f>
        <v/>
      </c>
      <c r="P455" s="287" t="str">
        <f>IF(Tableau3384[[#This Row],[Date du paiement]]="",$B$4-Tableau3384[[#This Row],[Écheance]],"")</f>
        <v/>
      </c>
      <c r="Q455" s="168" t="str">
        <f>IF(Tableau3384[[#This Row],[Date du paiement]]="",IF(Tableau3384[[#This Row],[jours jusqu''à l''écheance]]&gt;0,Tableau3384[[#This Row],[Montant
CHF]],""),"")</f>
        <v/>
      </c>
      <c r="R455" s="298" t="str">
        <f>IF(Tableau3384[[#This Row],[Date du paiement]]="",IF(Tableau3384[[#This Row],[jours jusqu''à l''écheance]]-($B$4-$B$11-1)&gt;0,Tableau3384[[#This Row],[Montant
CHF]],""),"")</f>
        <v/>
      </c>
      <c r="S455" s="142"/>
      <c r="T455" s="168" t="str">
        <f>IF(Tableau3384[[#This Row],[Paiements prevus]]="oui",Tableau3384[[#This Row],[Montant prevu à payer CH]],"")</f>
        <v/>
      </c>
      <c r="U455" s="177"/>
      <c r="V455" s="192" t="s">
        <v>735</v>
      </c>
      <c r="W455" s="190"/>
      <c r="X455" s="187">
        <v>45510</v>
      </c>
      <c r="Y455" s="181" t="s">
        <v>58</v>
      </c>
      <c r="Z455" s="120" t="str">
        <f>IF(Tableau3384[[#This Row],[Méthode du paiement]]="Mastercard","OUI","")</f>
        <v/>
      </c>
      <c r="AA455" s="180" t="s">
        <v>39</v>
      </c>
      <c r="AB455" s="180" t="s">
        <v>557</v>
      </c>
    </row>
    <row r="456" spans="1:28" s="184" customFormat="1" hidden="1" x14ac:dyDescent="0.25">
      <c r="A456" s="156" t="s">
        <v>1132</v>
      </c>
      <c r="B456" s="185">
        <v>45476</v>
      </c>
      <c r="C456" s="185">
        <v>45477</v>
      </c>
      <c r="D456" s="186" t="s">
        <v>216</v>
      </c>
      <c r="E456" s="183">
        <v>1876.95</v>
      </c>
      <c r="F456" s="195">
        <v>100</v>
      </c>
      <c r="G456" s="193"/>
      <c r="H456" s="136">
        <f>Tableau3384[[#This Row],[Montant
CHF]]+Tableau3384[[#This Row],[Abzug/Spesen
CHF]]</f>
        <v>1876.95</v>
      </c>
      <c r="I456" s="188"/>
      <c r="J456" s="189"/>
      <c r="K456" s="189"/>
      <c r="L456" s="298"/>
      <c r="M456" s="194"/>
      <c r="N456" s="185">
        <v>45537</v>
      </c>
      <c r="O456" s="282" t="str">
        <f>IF(Tableau3384[[#This Row],[Date du paiement]]&gt;0,"",Tableau3384[[#This Row],[Montant
CHF]])</f>
        <v/>
      </c>
      <c r="P456" s="287" t="str">
        <f>IF(Tableau3384[[#This Row],[Date du paiement]]="",$B$4-Tableau3384[[#This Row],[Écheance]],"")</f>
        <v/>
      </c>
      <c r="Q456" s="168" t="str">
        <f>IF(Tableau3384[[#This Row],[Date du paiement]]="",IF(Tableau3384[[#This Row],[jours jusqu''à l''écheance]]&gt;0,Tableau3384[[#This Row],[Montant
CHF]],""),"")</f>
        <v/>
      </c>
      <c r="R456" s="298" t="str">
        <f>IF(Tableau3384[[#This Row],[Date du paiement]]="",IF(Tableau3384[[#This Row],[jours jusqu''à l''écheance]]-($B$4-$B$11-1)&gt;0,Tableau3384[[#This Row],[Montant
CHF]],""),"")</f>
        <v/>
      </c>
      <c r="S456" s="142"/>
      <c r="T456" s="168" t="str">
        <f>IF(Tableau3384[[#This Row],[Paiements prevus]]="oui",Tableau3384[[#This Row],[Montant prevu à payer CH]],"")</f>
        <v/>
      </c>
      <c r="U456" s="177"/>
      <c r="V456" s="192" t="s">
        <v>736</v>
      </c>
      <c r="W456" s="190"/>
      <c r="X456" s="187">
        <v>45537</v>
      </c>
      <c r="Y456" s="181" t="s">
        <v>58</v>
      </c>
      <c r="Z456" s="120" t="str">
        <f>IF(Tableau3384[[#This Row],[Méthode du paiement]]="Mastercard","OUI","")</f>
        <v/>
      </c>
      <c r="AA456" s="180" t="s">
        <v>604</v>
      </c>
      <c r="AB456" s="180" t="s">
        <v>1069</v>
      </c>
    </row>
    <row r="457" spans="1:28" s="184" customFormat="1" hidden="1" x14ac:dyDescent="0.25">
      <c r="A457" s="437" t="s">
        <v>1135</v>
      </c>
      <c r="B457" s="185">
        <v>45476</v>
      </c>
      <c r="C457" s="185">
        <v>45478</v>
      </c>
      <c r="D457" s="186" t="s">
        <v>1284</v>
      </c>
      <c r="E457" s="183">
        <f>Tableau3384[[#This Row],[Montant
EUR]]*Tableau3384[[#This Row],[Taux 
de change]]</f>
        <v>14709.309986560002</v>
      </c>
      <c r="F457" s="195">
        <v>0</v>
      </c>
      <c r="G457" s="193"/>
      <c r="H457" s="136">
        <f>Tableau3384[[#This Row],[Montant
CHF]]+Tableau3384[[#This Row],[Abzug/Spesen
CHF]]</f>
        <v>14709.309986560002</v>
      </c>
      <c r="I457" s="188">
        <v>0.97664896000000001</v>
      </c>
      <c r="J457" s="189">
        <f>30122.15-15061.15</f>
        <v>15061.000000000002</v>
      </c>
      <c r="K457" s="189"/>
      <c r="L457" s="298" t="s">
        <v>1252</v>
      </c>
      <c r="M457" s="194" t="s">
        <v>1161</v>
      </c>
      <c r="N457" s="185">
        <v>45516</v>
      </c>
      <c r="O457" s="282" t="str">
        <f>IF(Tableau3384[[#This Row],[Date du paiement]]&gt;0,"",Tableau3384[[#This Row],[Montant
CHF]])</f>
        <v/>
      </c>
      <c r="P457" s="287" t="str">
        <f>IF(Tableau3384[[#This Row],[Date du paiement]]="",$B$4-Tableau3384[[#This Row],[Écheance]],"")</f>
        <v/>
      </c>
      <c r="Q457" s="168" t="str">
        <f>IF(Tableau3384[[#This Row],[Date du paiement]]="",IF(Tableau3384[[#This Row],[jours jusqu''à l''écheance]]&gt;0,Tableau3384[[#This Row],[Montant
CHF]],""),"")</f>
        <v/>
      </c>
      <c r="R457" s="298" t="str">
        <f>IF(Tableau3384[[#This Row],[Date du paiement]]="",IF(Tableau3384[[#This Row],[jours jusqu''à l''écheance]]-($B$4-$B$11-1)&gt;0,Tableau3384[[#This Row],[Montant
CHF]],""),"")</f>
        <v/>
      </c>
      <c r="S457" s="142"/>
      <c r="T457" s="168" t="str">
        <f>IF(Tableau3384[[#This Row],[Paiements prevus]]="oui",Tableau3384[[#This Row],[Montant prevu à payer CH]],"")</f>
        <v/>
      </c>
      <c r="U457" s="177"/>
      <c r="V457" s="192" t="s">
        <v>737</v>
      </c>
      <c r="W457" s="190"/>
      <c r="X457" s="187">
        <v>45478</v>
      </c>
      <c r="Y457" s="181" t="s">
        <v>58</v>
      </c>
      <c r="Z457" s="120" t="str">
        <f>IF(Tableau3384[[#This Row],[Méthode du paiement]]="Mastercard","OUI","")</f>
        <v/>
      </c>
      <c r="AA457" s="180" t="s">
        <v>14</v>
      </c>
      <c r="AB457" s="180" t="s">
        <v>1138</v>
      </c>
    </row>
    <row r="458" spans="1:28" s="184" customFormat="1" hidden="1" x14ac:dyDescent="0.25">
      <c r="A458" s="437" t="s">
        <v>1136</v>
      </c>
      <c r="B458" s="185">
        <v>45476</v>
      </c>
      <c r="C458" s="185">
        <v>45478</v>
      </c>
      <c r="D458" s="186" t="s">
        <v>1284</v>
      </c>
      <c r="E458" s="183">
        <f>Tableau3384[[#This Row],[Montant
EUR]]*Tableau3384[[#This Row],[Taux 
de change]]</f>
        <v>14214.987450000001</v>
      </c>
      <c r="F458" s="195">
        <v>0</v>
      </c>
      <c r="G458" s="193"/>
      <c r="H458" s="136">
        <f>Tableau3384[[#This Row],[Montant
CHF]]+Tableau3384[[#This Row],[Abzug/Spesen
CHF]]</f>
        <v>14214.987450000001</v>
      </c>
      <c r="I458" s="188">
        <v>0.96299999999999997</v>
      </c>
      <c r="J458" s="189">
        <f>29822.15-15061</f>
        <v>14761.150000000001</v>
      </c>
      <c r="K458" s="189"/>
      <c r="L458" s="298" t="s">
        <v>1252</v>
      </c>
      <c r="M458" s="194" t="s">
        <v>1251</v>
      </c>
      <c r="N458" s="185">
        <v>45478</v>
      </c>
      <c r="O458" s="282" t="str">
        <f>IF(Tableau3384[[#This Row],[Date du paiement]]&gt;0,"",Tableau3384[[#This Row],[Montant
CHF]])</f>
        <v/>
      </c>
      <c r="P458" s="287" t="str">
        <f>IF(Tableau3384[[#This Row],[Date du paiement]]="",$B$4-Tableau3384[[#This Row],[Écheance]],"")</f>
        <v/>
      </c>
      <c r="Q458" s="168" t="str">
        <f>IF(Tableau3384[[#This Row],[Date du paiement]]="",IF(Tableau3384[[#This Row],[jours jusqu''à l''écheance]]&gt;0,Tableau3384[[#This Row],[Montant
CHF]],""),"")</f>
        <v/>
      </c>
      <c r="R458" s="298" t="str">
        <f>IF(Tableau3384[[#This Row],[Date du paiement]]="",IF(Tableau3384[[#This Row],[jours jusqu''à l''écheance]]&gt;0,Tableau3384[[#This Row],[Montant
CHF]],""),"")</f>
        <v/>
      </c>
      <c r="S458" s="142"/>
      <c r="T458" s="168" t="str">
        <f>IF(Tableau3384[[#This Row],[Paiements prevus]]="oui",Tableau3384[[#This Row],[Montant prevu à payer CH]],"")</f>
        <v/>
      </c>
      <c r="U458" s="177"/>
      <c r="V458" s="192" t="s">
        <v>737</v>
      </c>
      <c r="W458" s="190"/>
      <c r="X458" s="187">
        <v>45502</v>
      </c>
      <c r="Y458" s="181" t="s">
        <v>58</v>
      </c>
      <c r="Z458" s="120" t="str">
        <f>IF(Tableau3384[[#This Row],[Méthode du paiement]]="Mastercard","OUI","")</f>
        <v/>
      </c>
      <c r="AA458" s="180" t="s">
        <v>14</v>
      </c>
      <c r="AB458" s="180" t="s">
        <v>1138</v>
      </c>
    </row>
    <row r="459" spans="1:28" s="184" customFormat="1" hidden="1" x14ac:dyDescent="0.25">
      <c r="A459" s="156" t="s">
        <v>129</v>
      </c>
      <c r="B459" s="185">
        <v>45477</v>
      </c>
      <c r="C459" s="185">
        <v>45475</v>
      </c>
      <c r="D459" s="157" t="s">
        <v>87</v>
      </c>
      <c r="E459" s="183">
        <v>2348.8000000000002</v>
      </c>
      <c r="F459" s="165">
        <v>0</v>
      </c>
      <c r="G459" s="193"/>
      <c r="H459" s="136">
        <f>Tableau3384[[#This Row],[Montant
CHF]]+Tableau3384[[#This Row],[Abzug/Spesen
CHF]]</f>
        <v>2348.8000000000002</v>
      </c>
      <c r="I459" s="188"/>
      <c r="J459" s="189"/>
      <c r="K459" s="189"/>
      <c r="L459" s="298"/>
      <c r="M459" s="194"/>
      <c r="N459" s="185">
        <v>45505</v>
      </c>
      <c r="O459" s="282" t="str">
        <f>IF(Tableau3384[[#This Row],[Date du paiement]]&gt;0,"",Tableau3384[[#This Row],[Montant
CHF]])</f>
        <v/>
      </c>
      <c r="P459" s="287" t="str">
        <f>IF(Tableau3384[[#This Row],[Date du paiement]]="",$B$4-Tableau3384[[#This Row],[Écheance]],"")</f>
        <v/>
      </c>
      <c r="Q459" s="168" t="str">
        <f>IF(Tableau3384[[#This Row],[Date du paiement]]="",IF(Tableau3384[[#This Row],[jours jusqu''à l''écheance]]&gt;0,Tableau3384[[#This Row],[Montant
CHF]],""),"")</f>
        <v/>
      </c>
      <c r="R459" s="298" t="str">
        <f>IF(Tableau3384[[#This Row],[Date du paiement]]="",IF(Tableau3384[[#This Row],[jours jusqu''à l''écheance]]-($B$4-$B$11-1)&gt;0,Tableau3384[[#This Row],[Montant
CHF]],""),"")</f>
        <v/>
      </c>
      <c r="S459" s="142"/>
      <c r="T459" s="168" t="str">
        <f>IF(Tableau3384[[#This Row],[Paiements prevus]]="oui",Tableau3384[[#This Row],[Montant prevu à payer CH]],"")</f>
        <v/>
      </c>
      <c r="U459" s="177"/>
      <c r="V459" s="192" t="s">
        <v>739</v>
      </c>
      <c r="W459" s="190"/>
      <c r="X459" s="187">
        <v>45513</v>
      </c>
      <c r="Y459" s="181" t="s">
        <v>58</v>
      </c>
      <c r="Z459" s="120" t="str">
        <f>IF(Tableau3384[[#This Row],[Méthode du paiement]]="Mastercard","OUI","")</f>
        <v/>
      </c>
      <c r="AA459" s="180" t="s">
        <v>4</v>
      </c>
      <c r="AB459" s="180" t="s">
        <v>709</v>
      </c>
    </row>
    <row r="460" spans="1:28" s="184" customFormat="1" hidden="1" x14ac:dyDescent="0.25">
      <c r="A460" s="156" t="s">
        <v>1122</v>
      </c>
      <c r="B460" s="185">
        <v>45478</v>
      </c>
      <c r="C460" s="185">
        <v>45478</v>
      </c>
      <c r="D460" s="186" t="s">
        <v>25</v>
      </c>
      <c r="E460" s="183">
        <v>40</v>
      </c>
      <c r="F460" s="195">
        <v>0</v>
      </c>
      <c r="G460" s="193"/>
      <c r="H460" s="136">
        <f>Tableau3384[[#This Row],[Montant
CHF]]+Tableau3384[[#This Row],[Abzug/Spesen
CHF]]</f>
        <v>40</v>
      </c>
      <c r="I460" s="188"/>
      <c r="J460" s="189"/>
      <c r="K460" s="189"/>
      <c r="L460" s="298"/>
      <c r="M460" s="194"/>
      <c r="N460" s="185">
        <v>45498</v>
      </c>
      <c r="O460" s="282" t="str">
        <f>IF(Tableau3384[[#This Row],[Date du paiement]]&gt;0,"",Tableau3384[[#This Row],[Montant
CHF]])</f>
        <v/>
      </c>
      <c r="P460" s="287" t="str">
        <f>IF(Tableau3384[[#This Row],[Date du paiement]]="",$B$4-Tableau3384[[#This Row],[Écheance]],"")</f>
        <v/>
      </c>
      <c r="Q460" s="168" t="str">
        <f>IF(Tableau3384[[#This Row],[Date du paiement]]="",IF(Tableau3384[[#This Row],[jours jusqu''à l''écheance]]&gt;0,Tableau3384[[#This Row],[Montant
CHF]],""),"")</f>
        <v/>
      </c>
      <c r="R460" s="298" t="str">
        <f>IF(Tableau3384[[#This Row],[Date du paiement]]="",IF(Tableau3384[[#This Row],[jours jusqu''à l''écheance]]-($B$4-$B$11-1)&gt;0,Tableau3384[[#This Row],[Montant
CHF]],""),"")</f>
        <v/>
      </c>
      <c r="S460" s="142"/>
      <c r="T460" s="168" t="str">
        <f>IF(Tableau3384[[#This Row],[Paiements prevus]]="oui",Tableau3384[[#This Row],[Montant prevu à payer CH]],"")</f>
        <v/>
      </c>
      <c r="U460" s="177"/>
      <c r="V460" s="192" t="s">
        <v>738</v>
      </c>
      <c r="W460" s="190"/>
      <c r="X460" s="187">
        <v>45510</v>
      </c>
      <c r="Y460" s="181" t="s">
        <v>58</v>
      </c>
      <c r="Z460" s="120" t="str">
        <f>IF(Tableau3384[[#This Row],[Méthode du paiement]]="Mastercard","OUI","")</f>
        <v/>
      </c>
      <c r="AA460" s="180" t="s">
        <v>26</v>
      </c>
      <c r="AB460" s="180" t="s">
        <v>1123</v>
      </c>
    </row>
    <row r="461" spans="1:28" s="184" customFormat="1" hidden="1" x14ac:dyDescent="0.25">
      <c r="A461" s="437" t="s">
        <v>1144</v>
      </c>
      <c r="B461" s="185">
        <v>45479</v>
      </c>
      <c r="C461" s="185">
        <v>45481</v>
      </c>
      <c r="D461" s="440" t="s">
        <v>362</v>
      </c>
      <c r="E461" s="183">
        <v>1815.8</v>
      </c>
      <c r="F461" s="195">
        <v>8.1</v>
      </c>
      <c r="G461" s="193"/>
      <c r="H461" s="136">
        <f>Tableau3384[[#This Row],[Montant
CHF]]+Tableau3384[[#This Row],[Abzug/Spesen
CHF]]</f>
        <v>1815.8</v>
      </c>
      <c r="I461" s="188"/>
      <c r="J461" s="189"/>
      <c r="K461" s="189"/>
      <c r="L461" s="298"/>
      <c r="M461" s="194" t="s">
        <v>1145</v>
      </c>
      <c r="N461" s="185">
        <v>45510</v>
      </c>
      <c r="O461" s="282" t="str">
        <f>IF(Tableau3384[[#This Row],[Date du paiement]]&gt;0,"",Tableau3384[[#This Row],[Montant
CHF]])</f>
        <v/>
      </c>
      <c r="P461" s="287" t="str">
        <f>IF(Tableau3384[[#This Row],[Date du paiement]]="",$B$4-Tableau3384[[#This Row],[Écheance]],"")</f>
        <v/>
      </c>
      <c r="Q461" s="168" t="str">
        <f>IF(Tableau3384[[#This Row],[Date du paiement]]="",IF(Tableau3384[[#This Row],[jours jusqu''à l''écheance]]&gt;0,Tableau3384[[#This Row],[Montant
CHF]],""),"")</f>
        <v/>
      </c>
      <c r="R461" s="298" t="str">
        <f>IF(Tableau3384[[#This Row],[Date du paiement]]="",IF(Tableau3384[[#This Row],[jours jusqu''à l''écheance]]-($B$4-$B$11-1)&gt;0,Tableau3384[[#This Row],[Montant
CHF]],""),"")</f>
        <v/>
      </c>
      <c r="S461" s="142"/>
      <c r="T461" s="168" t="str">
        <f>IF(Tableau3384[[#This Row],[Paiements prevus]]="oui",Tableau3384[[#This Row],[Montant prevu à payer CH]],"")</f>
        <v/>
      </c>
      <c r="U461" s="177"/>
      <c r="V461" s="192" t="s">
        <v>735</v>
      </c>
      <c r="W461" s="190"/>
      <c r="X461" s="187">
        <v>45510</v>
      </c>
      <c r="Y461" s="181" t="s">
        <v>58</v>
      </c>
      <c r="Z461" s="120" t="str">
        <f>IF(Tableau3384[[#This Row],[Méthode du paiement]]="Mastercard","OUI","")</f>
        <v/>
      </c>
      <c r="AA461" s="180" t="s">
        <v>4</v>
      </c>
      <c r="AB461" s="180" t="s">
        <v>1146</v>
      </c>
    </row>
    <row r="462" spans="1:28" s="184" customFormat="1" hidden="1" x14ac:dyDescent="0.25">
      <c r="A462" s="437" t="s">
        <v>1142</v>
      </c>
      <c r="B462" s="185">
        <v>45479</v>
      </c>
      <c r="C462" s="185">
        <v>45481</v>
      </c>
      <c r="D462" s="186" t="s">
        <v>22</v>
      </c>
      <c r="E462" s="183">
        <v>1318.8</v>
      </c>
      <c r="F462" s="195">
        <v>8.1</v>
      </c>
      <c r="G462" s="193">
        <v>-26.38</v>
      </c>
      <c r="H462" s="136">
        <f>Tableau3384[[#This Row],[Montant
CHF]]+Tableau3384[[#This Row],[Abzug/Spesen
CHF]]</f>
        <v>1292.4199999999998</v>
      </c>
      <c r="I462" s="188"/>
      <c r="J462" s="189"/>
      <c r="K462" s="189"/>
      <c r="L462" s="298"/>
      <c r="M462" s="194"/>
      <c r="N462" s="185">
        <v>45489</v>
      </c>
      <c r="O462" s="282" t="str">
        <f>IF(Tableau3384[[#This Row],[Date du paiement]]&gt;0,"",Tableau3384[[#This Row],[Montant
CHF]])</f>
        <v/>
      </c>
      <c r="P462" s="287" t="str">
        <f>IF(Tableau3384[[#This Row],[Date du paiement]]="",$B$4-Tableau3384[[#This Row],[Écheance]],"")</f>
        <v/>
      </c>
      <c r="Q462" s="168" t="str">
        <f>IF(Tableau3384[[#This Row],[Date du paiement]]="",IF(Tableau3384[[#This Row],[jours jusqu''à l''écheance]]&gt;0,Tableau3384[[#This Row],[Montant
CHF]],""),"")</f>
        <v/>
      </c>
      <c r="R462" s="298" t="str">
        <f>IF(Tableau3384[[#This Row],[Date du paiement]]="",IF(Tableau3384[[#This Row],[jours jusqu''à l''écheance]]-($B$4-$B$11-1)&gt;0,Tableau3384[[#This Row],[Montant
CHF]],""),"")</f>
        <v/>
      </c>
      <c r="S462" s="142"/>
      <c r="T462" s="168" t="str">
        <f>IF(Tableau3384[[#This Row],[Paiements prevus]]="oui",Tableau3384[[#This Row],[Montant prevu à payer CH]],"")</f>
        <v/>
      </c>
      <c r="U462" s="177"/>
      <c r="V462" s="192" t="s">
        <v>738</v>
      </c>
      <c r="W462" s="190"/>
      <c r="X462" s="187">
        <v>45489</v>
      </c>
      <c r="Y462" s="181" t="s">
        <v>58</v>
      </c>
      <c r="Z462" s="120" t="str">
        <f>IF(Tableau3384[[#This Row],[Méthode du paiement]]="Mastercard","OUI","")</f>
        <v/>
      </c>
      <c r="AA462" s="180" t="s">
        <v>14</v>
      </c>
      <c r="AB462" s="180" t="s">
        <v>1143</v>
      </c>
    </row>
    <row r="463" spans="1:28" s="184" customFormat="1" hidden="1" x14ac:dyDescent="0.25">
      <c r="A463" s="182" t="s">
        <v>1148</v>
      </c>
      <c r="B463" s="185">
        <v>45481</v>
      </c>
      <c r="C463" s="185">
        <v>45481</v>
      </c>
      <c r="D463" s="186" t="s">
        <v>216</v>
      </c>
      <c r="E463" s="183">
        <v>333.7</v>
      </c>
      <c r="F463" s="195">
        <v>100</v>
      </c>
      <c r="G463" s="193"/>
      <c r="H463" s="136">
        <f>Tableau3384[[#This Row],[Montant
CHF]]+Tableau3384[[#This Row],[Abzug/Spesen
CHF]]</f>
        <v>333.7</v>
      </c>
      <c r="I463" s="188"/>
      <c r="J463" s="189"/>
      <c r="K463" s="189"/>
      <c r="L463" s="298"/>
      <c r="M463" s="194"/>
      <c r="N463" s="185">
        <v>45541</v>
      </c>
      <c r="O463" s="282" t="str">
        <f>IF(Tableau3384[[#This Row],[Date du paiement]]&gt;0,"",Tableau3384[[#This Row],[Montant
CHF]])</f>
        <v/>
      </c>
      <c r="P463" s="287" t="str">
        <f>IF(Tableau3384[[#This Row],[Date du paiement]]="",$B$4-Tableau3384[[#This Row],[Écheance]],"")</f>
        <v/>
      </c>
      <c r="Q463" s="168" t="str">
        <f>IF(Tableau3384[[#This Row],[Date du paiement]]="",IF(Tableau3384[[#This Row],[jours jusqu''à l''écheance]]&gt;0,Tableau3384[[#This Row],[Montant
CHF]],""),"")</f>
        <v/>
      </c>
      <c r="R463" s="298" t="str">
        <f>IF(Tableau3384[[#This Row],[Date du paiement]]="",IF(Tableau3384[[#This Row],[jours jusqu''à l''écheance]]-($B$4-$B$11-1)&gt;0,Tableau3384[[#This Row],[Montant
CHF]],""),"")</f>
        <v/>
      </c>
      <c r="S463" s="142"/>
      <c r="T463" s="168" t="str">
        <f>IF(Tableau3384[[#This Row],[Paiements prevus]]="oui",Tableau3384[[#This Row],[Montant prevu à payer CH]],"")</f>
        <v/>
      </c>
      <c r="U463" s="177"/>
      <c r="V463" s="192" t="s">
        <v>736</v>
      </c>
      <c r="W463" s="190"/>
      <c r="X463" s="187">
        <v>45541</v>
      </c>
      <c r="Y463" s="181" t="s">
        <v>58</v>
      </c>
      <c r="Z463" s="120" t="str">
        <f>IF(Tableau3384[[#This Row],[Méthode du paiement]]="Mastercard","OUI","")</f>
        <v/>
      </c>
      <c r="AA463" s="180" t="s">
        <v>604</v>
      </c>
      <c r="AB463" s="180" t="s">
        <v>1149</v>
      </c>
    </row>
    <row r="464" spans="1:28" s="184" customFormat="1" hidden="1" x14ac:dyDescent="0.25">
      <c r="A464" s="182" t="s">
        <v>1189</v>
      </c>
      <c r="B464" s="185">
        <v>45481</v>
      </c>
      <c r="C464" s="185">
        <v>45482</v>
      </c>
      <c r="D464" s="186" t="s">
        <v>1191</v>
      </c>
      <c r="E464" s="183">
        <v>2061</v>
      </c>
      <c r="F464" s="195">
        <v>8.1</v>
      </c>
      <c r="G464" s="193"/>
      <c r="H464" s="136">
        <f>Tableau3384[[#This Row],[Montant
CHF]]+Tableau3384[[#This Row],[Abzug/Spesen
CHF]]</f>
        <v>2061</v>
      </c>
      <c r="I464" s="188"/>
      <c r="J464" s="189"/>
      <c r="K464" s="189"/>
      <c r="L464" s="298"/>
      <c r="M464" s="194"/>
      <c r="N464" s="185">
        <v>45481</v>
      </c>
      <c r="O464" s="282" t="str">
        <f>IF(Tableau3384[[#This Row],[Date du paiement]]&gt;0,"",Tableau3384[[#This Row],[Montant
CHF]])</f>
        <v/>
      </c>
      <c r="P464" s="287" t="str">
        <f>IF(Tableau3384[[#This Row],[Date du paiement]]="",$B$4-Tableau3384[[#This Row],[Écheance]],"")</f>
        <v/>
      </c>
      <c r="Q464" s="168" t="str">
        <f>IF(Tableau3384[[#This Row],[Date du paiement]]="",IF(Tableau3384[[#This Row],[jours jusqu''à l''écheance]]&gt;0,Tableau3384[[#This Row],[Montant
CHF]],""),"")</f>
        <v/>
      </c>
      <c r="R464" s="298" t="str">
        <f>IF(Tableau3384[[#This Row],[Date du paiement]]="",IF(Tableau3384[[#This Row],[jours jusqu''à l''écheance]]&gt;0,Tableau3384[[#This Row],[Montant
CHF]],""),"")</f>
        <v/>
      </c>
      <c r="S464" s="142"/>
      <c r="T464" s="168" t="str">
        <f>IF(Tableau3384[[#This Row],[Paiements prevus]]="oui",Tableau3384[[#This Row],[Montant prevu à payer CH]],"")</f>
        <v/>
      </c>
      <c r="U464" s="177"/>
      <c r="V464" s="192"/>
      <c r="W464" s="190"/>
      <c r="X464" s="187">
        <v>45481</v>
      </c>
      <c r="Y464" s="181" t="s">
        <v>105</v>
      </c>
      <c r="Z464" s="120" t="str">
        <f>IF(Tableau3384[[#This Row],[Méthode du paiement]]="Mastercard","OUI","")</f>
        <v>OUI</v>
      </c>
      <c r="AA464" s="180" t="s">
        <v>14</v>
      </c>
      <c r="AB464" s="180" t="s">
        <v>1192</v>
      </c>
    </row>
    <row r="465" spans="1:28" s="184" customFormat="1" hidden="1" x14ac:dyDescent="0.25">
      <c r="A465" s="182" t="s">
        <v>1190</v>
      </c>
      <c r="B465" s="185">
        <v>45481</v>
      </c>
      <c r="C465" s="185">
        <v>45482</v>
      </c>
      <c r="D465" s="186" t="s">
        <v>1191</v>
      </c>
      <c r="E465" s="183">
        <v>229</v>
      </c>
      <c r="F465" s="195">
        <v>8.1</v>
      </c>
      <c r="G465" s="193"/>
      <c r="H465" s="136">
        <f>Tableau3384[[#This Row],[Montant
CHF]]+Tableau3384[[#This Row],[Abzug/Spesen
CHF]]</f>
        <v>229</v>
      </c>
      <c r="I465" s="188"/>
      <c r="J465" s="189"/>
      <c r="K465" s="189"/>
      <c r="L465" s="298"/>
      <c r="M465" s="194"/>
      <c r="N465" s="185">
        <v>45481</v>
      </c>
      <c r="O465" s="282" t="str">
        <f>IF(Tableau3384[[#This Row],[Date du paiement]]&gt;0,"",Tableau3384[[#This Row],[Montant
CHF]])</f>
        <v/>
      </c>
      <c r="P465" s="287" t="str">
        <f>IF(Tableau3384[[#This Row],[Date du paiement]]="",$B$4-Tableau3384[[#This Row],[Écheance]],"")</f>
        <v/>
      </c>
      <c r="Q465" s="168" t="str">
        <f>IF(Tableau3384[[#This Row],[Date du paiement]]="",IF(Tableau3384[[#This Row],[jours jusqu''à l''écheance]]&gt;0,Tableau3384[[#This Row],[Montant
CHF]],""),"")</f>
        <v/>
      </c>
      <c r="R465" s="298" t="str">
        <f>IF(Tableau3384[[#This Row],[Date du paiement]]="",IF(Tableau3384[[#This Row],[jours jusqu''à l''écheance]]&gt;0,Tableau3384[[#This Row],[Montant
CHF]],""),"")</f>
        <v/>
      </c>
      <c r="S465" s="142"/>
      <c r="T465" s="168" t="str">
        <f>IF(Tableau3384[[#This Row],[Paiements prevus]]="oui",Tableau3384[[#This Row],[Montant prevu à payer CH]],"")</f>
        <v/>
      </c>
      <c r="U465" s="177"/>
      <c r="V465" s="192"/>
      <c r="W465" s="190"/>
      <c r="X465" s="187">
        <v>45481</v>
      </c>
      <c r="Y465" s="181" t="s">
        <v>105</v>
      </c>
      <c r="Z465" s="120" t="str">
        <f>IF(Tableau3384[[#This Row],[Méthode du paiement]]="Mastercard","OUI","")</f>
        <v>OUI</v>
      </c>
      <c r="AA465" s="180" t="s">
        <v>14</v>
      </c>
      <c r="AB465" s="180" t="s">
        <v>1192</v>
      </c>
    </row>
    <row r="466" spans="1:28" s="184" customFormat="1" hidden="1" x14ac:dyDescent="0.25">
      <c r="A466" s="182" t="s">
        <v>1193</v>
      </c>
      <c r="B466" s="185">
        <v>45482</v>
      </c>
      <c r="C466" s="185">
        <v>45483</v>
      </c>
      <c r="D466" s="186" t="s">
        <v>104</v>
      </c>
      <c r="E466" s="183">
        <v>366.2</v>
      </c>
      <c r="F466" s="195">
        <v>8.1</v>
      </c>
      <c r="G466" s="193"/>
      <c r="H466" s="136">
        <f>Tableau3384[[#This Row],[Montant
CHF]]+Tableau3384[[#This Row],[Abzug/Spesen
CHF]]</f>
        <v>366.2</v>
      </c>
      <c r="I466" s="188"/>
      <c r="J466" s="189"/>
      <c r="K466" s="189"/>
      <c r="L466" s="298"/>
      <c r="M466" s="194"/>
      <c r="N466" s="185">
        <v>45482</v>
      </c>
      <c r="O466" s="282" t="str">
        <f>IF(Tableau3384[[#This Row],[Date du paiement]]&gt;0,"",Tableau3384[[#This Row],[Montant
CHF]])</f>
        <v/>
      </c>
      <c r="P466" s="287" t="str">
        <f>IF(Tableau3384[[#This Row],[Date du paiement]]="",$B$4-Tableau3384[[#This Row],[Écheance]],"")</f>
        <v/>
      </c>
      <c r="Q466" s="168" t="str">
        <f>IF(Tableau3384[[#This Row],[Date du paiement]]="",IF(Tableau3384[[#This Row],[jours jusqu''à l''écheance]]&gt;0,Tableau3384[[#This Row],[Montant
CHF]],""),"")</f>
        <v/>
      </c>
      <c r="R466" s="298" t="str">
        <f>IF(Tableau3384[[#This Row],[Date du paiement]]="",IF(Tableau3384[[#This Row],[jours jusqu''à l''écheance]]&gt;0,Tableau3384[[#This Row],[Montant
CHF]],""),"")</f>
        <v/>
      </c>
      <c r="S466" s="142"/>
      <c r="T466" s="168" t="str">
        <f>IF(Tableau3384[[#This Row],[Paiements prevus]]="oui",Tableau3384[[#This Row],[Montant prevu à payer CH]],"")</f>
        <v/>
      </c>
      <c r="U466" s="177"/>
      <c r="V466" s="192" t="s">
        <v>738</v>
      </c>
      <c r="W466" s="190"/>
      <c r="X466" s="187">
        <v>45482</v>
      </c>
      <c r="Y466" s="181" t="s">
        <v>105</v>
      </c>
      <c r="Z466" s="120" t="str">
        <f>IF(Tableau3384[[#This Row],[Méthode du paiement]]="Mastercard","OUI","")</f>
        <v>OUI</v>
      </c>
      <c r="AA466" s="180" t="s">
        <v>14</v>
      </c>
      <c r="AB466" s="180" t="s">
        <v>1194</v>
      </c>
    </row>
    <row r="467" spans="1:28" s="184" customFormat="1" hidden="1" x14ac:dyDescent="0.25">
      <c r="A467" s="182" t="s">
        <v>1206</v>
      </c>
      <c r="B467" s="185">
        <v>45482</v>
      </c>
      <c r="C467" s="185">
        <v>45483</v>
      </c>
      <c r="D467" s="186" t="s">
        <v>104</v>
      </c>
      <c r="E467" s="183">
        <v>49.5</v>
      </c>
      <c r="F467" s="195">
        <v>8.1</v>
      </c>
      <c r="G467" s="193"/>
      <c r="H467" s="136">
        <f>Tableau3384[[#This Row],[Montant
CHF]]+Tableau3384[[#This Row],[Abzug/Spesen
CHF]]</f>
        <v>49.5</v>
      </c>
      <c r="I467" s="188"/>
      <c r="J467" s="189"/>
      <c r="K467" s="189"/>
      <c r="L467" s="298"/>
      <c r="M467" s="194"/>
      <c r="N467" s="185">
        <v>45482</v>
      </c>
      <c r="O467" s="282" t="str">
        <f>IF(Tableau3384[[#This Row],[Date du paiement]]&gt;0,"",Tableau3384[[#This Row],[Montant
CHF]])</f>
        <v/>
      </c>
      <c r="P467" s="287" t="str">
        <f>IF(Tableau3384[[#This Row],[Date du paiement]]="",$B$4-Tableau3384[[#This Row],[Écheance]],"")</f>
        <v/>
      </c>
      <c r="Q467" s="168" t="str">
        <f>IF(Tableau3384[[#This Row],[Date du paiement]]="",IF(Tableau3384[[#This Row],[jours jusqu''à l''écheance]]&gt;0,Tableau3384[[#This Row],[Montant
CHF]],""),"")</f>
        <v/>
      </c>
      <c r="R467" s="298" t="str">
        <f>IF(Tableau3384[[#This Row],[Date du paiement]]="",IF(Tableau3384[[#This Row],[jours jusqu''à l''écheance]]&gt;0,Tableau3384[[#This Row],[Montant
CHF]],""),"")</f>
        <v/>
      </c>
      <c r="S467" s="142"/>
      <c r="T467" s="168" t="str">
        <f>IF(Tableau3384[[#This Row],[Paiements prevus]]="oui",Tableau3384[[#This Row],[Montant prevu à payer CH]],"")</f>
        <v/>
      </c>
      <c r="U467" s="177"/>
      <c r="V467" s="192"/>
      <c r="W467" s="190"/>
      <c r="X467" s="187">
        <v>45482</v>
      </c>
      <c r="Y467" s="181" t="s">
        <v>105</v>
      </c>
      <c r="Z467" s="120" t="str">
        <f>IF(Tableau3384[[#This Row],[Méthode du paiement]]="Mastercard","OUI","")</f>
        <v>OUI</v>
      </c>
      <c r="AA467" s="180" t="s">
        <v>14</v>
      </c>
      <c r="AB467" s="180" t="s">
        <v>1207</v>
      </c>
    </row>
    <row r="468" spans="1:28" s="184" customFormat="1" hidden="1" x14ac:dyDescent="0.25">
      <c r="A468" s="182" t="s">
        <v>1178</v>
      </c>
      <c r="B468" s="185">
        <v>45482</v>
      </c>
      <c r="C468" s="185">
        <v>45484</v>
      </c>
      <c r="D468" s="186" t="s">
        <v>13</v>
      </c>
      <c r="E468" s="183">
        <f>Tableau3384[[#This Row],[Montant
EUR]]*Tableau3384[[#This Row],[Taux 
de change]]</f>
        <v>31026.589747071997</v>
      </c>
      <c r="F468" s="195">
        <v>0</v>
      </c>
      <c r="G468" s="193"/>
      <c r="H468" s="136">
        <f>Tableau3384[[#This Row],[Montant
CHF]]+Tableau3384[[#This Row],[Abzug/Spesen
CHF]]</f>
        <v>31026.589747071997</v>
      </c>
      <c r="I468" s="188">
        <v>0.93801440000000003</v>
      </c>
      <c r="J468" s="189">
        <v>33076.879999999997</v>
      </c>
      <c r="K468" s="189"/>
      <c r="L468" s="298"/>
      <c r="M468" s="194"/>
      <c r="N468" s="185">
        <v>45544</v>
      </c>
      <c r="O468" s="282" t="str">
        <f>IF(Tableau3384[[#This Row],[Date du paiement]]&gt;0,"",Tableau3384[[#This Row],[Montant
CHF]])</f>
        <v/>
      </c>
      <c r="P468" s="287" t="str">
        <f>IF(Tableau3384[[#This Row],[Date du paiement]]="",$B$4-Tableau3384[[#This Row],[Écheance]],"")</f>
        <v/>
      </c>
      <c r="Q468" s="168" t="str">
        <f>IF(Tableau3384[[#This Row],[Date du paiement]]="",IF(Tableau3384[[#This Row],[jours jusqu''à l''écheance]]&gt;0,Tableau3384[[#This Row],[Montant
CHF]],""),"")</f>
        <v/>
      </c>
      <c r="R468" s="298" t="str">
        <f>IF(Tableau3384[[#This Row],[Date du paiement]]="",IF(Tableau3384[[#This Row],[jours jusqu''à l''écheance]]-($B$4-$B$11-1)&gt;0,Tableau3384[[#This Row],[Montant
CHF]],""),"")</f>
        <v/>
      </c>
      <c r="S468" s="142"/>
      <c r="T468" s="168" t="str">
        <f>IF(Tableau3384[[#This Row],[Paiements prevus]]="oui",Tableau3384[[#This Row],[Montant prevu à payer CH]],"")</f>
        <v/>
      </c>
      <c r="U468" s="177"/>
      <c r="V468" s="192" t="s">
        <v>737</v>
      </c>
      <c r="W468" s="190"/>
      <c r="X468" s="187">
        <v>45541</v>
      </c>
      <c r="Y468" s="181" t="s">
        <v>58</v>
      </c>
      <c r="Z468" s="120" t="str">
        <f>IF(Tableau3384[[#This Row],[Méthode du paiement]]="Mastercard","OUI","")</f>
        <v/>
      </c>
      <c r="AA468" s="180" t="s">
        <v>14</v>
      </c>
      <c r="AB468" s="180" t="s">
        <v>1179</v>
      </c>
    </row>
    <row r="469" spans="1:28" s="184" customFormat="1" hidden="1" x14ac:dyDescent="0.25">
      <c r="A469" s="156" t="s">
        <v>1172</v>
      </c>
      <c r="B469" s="185">
        <v>45483</v>
      </c>
      <c r="C469" s="185">
        <v>45483</v>
      </c>
      <c r="D469" s="186" t="s">
        <v>196</v>
      </c>
      <c r="E469" s="183">
        <v>2845.05</v>
      </c>
      <c r="F469" s="195">
        <v>8.1</v>
      </c>
      <c r="G469" s="193"/>
      <c r="H469" s="136">
        <f>Tableau3384[[#This Row],[Montant
CHF]]+Tableau3384[[#This Row],[Abzug/Spesen
CHF]]</f>
        <v>2845.05</v>
      </c>
      <c r="I469" s="188"/>
      <c r="J469" s="189"/>
      <c r="K469" s="189"/>
      <c r="L469" s="298"/>
      <c r="M469" s="194" t="s">
        <v>1171</v>
      </c>
      <c r="N469" s="185">
        <v>45493</v>
      </c>
      <c r="O469" s="282" t="str">
        <f>IF(Tableau3384[[#This Row],[Date du paiement]]&gt;0,"",Tableau3384[[#This Row],[Montant
CHF]])</f>
        <v/>
      </c>
      <c r="P469" s="287" t="str">
        <f>IF(Tableau3384[[#This Row],[Date du paiement]]="",$B$4-Tableau3384[[#This Row],[Écheance]],"")</f>
        <v/>
      </c>
      <c r="Q469" s="168" t="str">
        <f>IF(Tableau3384[[#This Row],[Date du paiement]]="",IF(Tableau3384[[#This Row],[jours jusqu''à l''écheance]]&gt;0,Tableau3384[[#This Row],[Montant
CHF]],""),"")</f>
        <v/>
      </c>
      <c r="R469" s="298" t="str">
        <f>IF(Tableau3384[[#This Row],[Date du paiement]]="",IF(Tableau3384[[#This Row],[jours jusqu''à l''écheance]]-($B$4-$B$11-1)&gt;0,Tableau3384[[#This Row],[Montant
CHF]],""),"")</f>
        <v/>
      </c>
      <c r="S469" s="142"/>
      <c r="T469" s="168" t="str">
        <f>IF(Tableau3384[[#This Row],[Paiements prevus]]="oui",Tableau3384[[#This Row],[Montant prevu à payer CH]],"")</f>
        <v/>
      </c>
      <c r="U469" s="177"/>
      <c r="V469" s="192" t="s">
        <v>735</v>
      </c>
      <c r="W469" s="190"/>
      <c r="X469" s="187">
        <v>45513</v>
      </c>
      <c r="Y469" s="181" t="s">
        <v>58</v>
      </c>
      <c r="Z469" s="120" t="str">
        <f>IF(Tableau3384[[#This Row],[Méthode du paiement]]="Mastercard","OUI","")</f>
        <v/>
      </c>
      <c r="AA469" s="180" t="s">
        <v>4</v>
      </c>
      <c r="AB469" s="180" t="s">
        <v>1124</v>
      </c>
    </row>
    <row r="470" spans="1:28" s="184" customFormat="1" hidden="1" x14ac:dyDescent="0.25">
      <c r="A470" s="182" t="s">
        <v>1343</v>
      </c>
      <c r="B470" s="185">
        <v>45483</v>
      </c>
      <c r="C470" s="185">
        <v>45483</v>
      </c>
      <c r="D470" s="186" t="s">
        <v>641</v>
      </c>
      <c r="E470" s="183">
        <v>486.45</v>
      </c>
      <c r="F470" s="195">
        <v>8.1</v>
      </c>
      <c r="G470" s="193"/>
      <c r="H470" s="136">
        <f>Tableau3384[[#This Row],[Montant
CHF]]+Tableau3384[[#This Row],[Abzug/Spesen
CHF]]</f>
        <v>486.45</v>
      </c>
      <c r="I470" s="188"/>
      <c r="J470" s="189"/>
      <c r="K470" s="189"/>
      <c r="L470" s="298"/>
      <c r="M470" s="194"/>
      <c r="N470" s="185">
        <v>45514</v>
      </c>
      <c r="O470" s="282" t="str">
        <f>IF(Tableau3384[[#This Row],[Date du paiement]]&gt;0,"",Tableau3384[[#This Row],[Montant
CHF]])</f>
        <v/>
      </c>
      <c r="P470" s="287" t="str">
        <f>IF(Tableau3384[[#This Row],[Date du paiement]]="",$B$4-Tableau3384[[#This Row],[Écheance]],"")</f>
        <v/>
      </c>
      <c r="Q470" s="168" t="str">
        <f>IF(Tableau3384[[#This Row],[Date du paiement]]="",IF(Tableau3384[[#This Row],[jours jusqu''à l''écheance]]&gt;0,Tableau3384[[#This Row],[Montant
CHF]],""),"")</f>
        <v/>
      </c>
      <c r="R470" s="298" t="str">
        <f>IF(Tableau3384[[#This Row],[Date du paiement]]="",IF(Tableau3384[[#This Row],[jours jusqu''à l''écheance]]&gt;0,Tableau3384[[#This Row],[Montant
CHF]],""),"")</f>
        <v/>
      </c>
      <c r="S470" s="142"/>
      <c r="T470" s="168" t="str">
        <f>IF(Tableau3384[[#This Row],[Paiements prevus]]="oui",Tableau3384[[#This Row],[Montant prevu à payer CH]],"")</f>
        <v/>
      </c>
      <c r="U470" s="177"/>
      <c r="V470" s="192" t="s">
        <v>735</v>
      </c>
      <c r="W470" s="190"/>
      <c r="X470" s="187">
        <v>45520</v>
      </c>
      <c r="Y470" s="181" t="s">
        <v>58</v>
      </c>
      <c r="Z470" s="120" t="str">
        <f>IF(Tableau3384[[#This Row],[Méthode du paiement]]="Mastercard","OUI","")</f>
        <v/>
      </c>
      <c r="AA470" s="180" t="s">
        <v>1431</v>
      </c>
      <c r="AB470" s="180" t="s">
        <v>1344</v>
      </c>
    </row>
    <row r="471" spans="1:28" s="184" customFormat="1" hidden="1" x14ac:dyDescent="0.25">
      <c r="A471" s="437" t="s">
        <v>1174</v>
      </c>
      <c r="B471" s="185">
        <v>45483</v>
      </c>
      <c r="C471" s="185">
        <v>45483</v>
      </c>
      <c r="D471" s="186" t="s">
        <v>216</v>
      </c>
      <c r="E471" s="183">
        <v>354.05</v>
      </c>
      <c r="F471" s="195">
        <v>100</v>
      </c>
      <c r="G471" s="193"/>
      <c r="H471" s="136">
        <f>Tableau3384[[#This Row],[Montant
CHF]]+Tableau3384[[#This Row],[Abzug/Spesen
CHF]]</f>
        <v>354.05</v>
      </c>
      <c r="I471" s="188"/>
      <c r="J471" s="189"/>
      <c r="K471" s="189"/>
      <c r="L471" s="298"/>
      <c r="M471" s="194"/>
      <c r="N471" s="185">
        <v>45544</v>
      </c>
      <c r="O471" s="282" t="str">
        <f>IF(Tableau3384[[#This Row],[Date du paiement]]&gt;0,"",Tableau3384[[#This Row],[Montant
CHF]])</f>
        <v/>
      </c>
      <c r="P471" s="287" t="str">
        <f>IF(Tableau3384[[#This Row],[Date du paiement]]="",$B$4-Tableau3384[[#This Row],[Écheance]],"")</f>
        <v/>
      </c>
      <c r="Q471" s="168" t="str">
        <f>IF(Tableau3384[[#This Row],[Date du paiement]]="",IF(Tableau3384[[#This Row],[jours jusqu''à l''écheance]]&gt;0,Tableau3384[[#This Row],[Montant
CHF]],""),"")</f>
        <v/>
      </c>
      <c r="R471" s="298" t="str">
        <f>IF(Tableau3384[[#This Row],[Date du paiement]]="",IF(Tableau3384[[#This Row],[jours jusqu''à l''écheance]]-($B$4-$B$11-1)&gt;0,Tableau3384[[#This Row],[Montant
CHF]],""),"")</f>
        <v/>
      </c>
      <c r="S471" s="142"/>
      <c r="T471" s="168" t="str">
        <f>IF(Tableau3384[[#This Row],[Paiements prevus]]="oui",Tableau3384[[#This Row],[Montant prevu à payer CH]],"")</f>
        <v/>
      </c>
      <c r="U471" s="177"/>
      <c r="V471" s="192" t="s">
        <v>736</v>
      </c>
      <c r="W471" s="190"/>
      <c r="X471" s="187">
        <v>45544</v>
      </c>
      <c r="Y471" s="181" t="s">
        <v>58</v>
      </c>
      <c r="Z471" s="120" t="str">
        <f>IF(Tableau3384[[#This Row],[Méthode du paiement]]="Mastercard","OUI","")</f>
        <v/>
      </c>
      <c r="AA471" s="180" t="s">
        <v>604</v>
      </c>
      <c r="AB471" s="180" t="s">
        <v>1175</v>
      </c>
    </row>
    <row r="472" spans="1:28" s="184" customFormat="1" hidden="1" x14ac:dyDescent="0.25">
      <c r="A472" s="182" t="s">
        <v>1176</v>
      </c>
      <c r="B472" s="185">
        <v>45483</v>
      </c>
      <c r="C472" s="185">
        <v>45484</v>
      </c>
      <c r="D472" s="186" t="s">
        <v>253</v>
      </c>
      <c r="E472" s="183">
        <f>Tableau3384[[#This Row],[Montant
EUR]]*Tableau3384[[#This Row],[Taux 
de change]]</f>
        <v>3597.2096159999996</v>
      </c>
      <c r="F472" s="195">
        <v>0</v>
      </c>
      <c r="G472" s="193">
        <f>-Tableau3384[[#This Row],[Montant
CHF]]*0.01</f>
        <v>-35.97209616</v>
      </c>
      <c r="H472" s="136">
        <f>Tableau3384[[#This Row],[Montant
CHF]]+Tableau3384[[#This Row],[Abzug/Spesen
CHF]]</f>
        <v>3561.2375198399995</v>
      </c>
      <c r="I472" s="188">
        <v>0.96667999999999998</v>
      </c>
      <c r="J472" s="189">
        <v>3721.2</v>
      </c>
      <c r="K472" s="189"/>
      <c r="L472" s="298"/>
      <c r="M472" s="194"/>
      <c r="N472" s="185">
        <v>45470</v>
      </c>
      <c r="O472" s="282" t="str">
        <f>IF(Tableau3384[[#This Row],[Date du paiement]]&gt;0,"",Tableau3384[[#This Row],[Montant
CHF]])</f>
        <v/>
      </c>
      <c r="P472" s="287" t="str">
        <f>IF(Tableau3384[[#This Row],[Date du paiement]]="",$B$4-Tableau3384[[#This Row],[Écheance]],"")</f>
        <v/>
      </c>
      <c r="Q472" s="168" t="str">
        <f>IF(Tableau3384[[#This Row],[Date du paiement]]="",IF(Tableau3384[[#This Row],[jours jusqu''à l''écheance]]&gt;0,Tableau3384[[#This Row],[Montant
CHF]],""),"")</f>
        <v/>
      </c>
      <c r="R472" s="298" t="str">
        <f>IF(Tableau3384[[#This Row],[Date du paiement]]="",IF(Tableau3384[[#This Row],[jours jusqu''à l''écheance]]&gt;0,Tableau3384[[#This Row],[Montant
CHF]],""),"")</f>
        <v/>
      </c>
      <c r="S472" s="142"/>
      <c r="T472" s="168" t="str">
        <f>IF(Tableau3384[[#This Row],[Paiements prevus]]="oui",Tableau3384[[#This Row],[Montant prevu à payer CH]],"")</f>
        <v/>
      </c>
      <c r="U472" s="177"/>
      <c r="V472" s="192" t="s">
        <v>737</v>
      </c>
      <c r="W472" s="190"/>
      <c r="X472" s="187">
        <v>45474</v>
      </c>
      <c r="Y472" s="181" t="s">
        <v>58</v>
      </c>
      <c r="Z472" s="120" t="str">
        <f>IF(Tableau3384[[#This Row],[Méthode du paiement]]="Mastercard","OUI","")</f>
        <v/>
      </c>
      <c r="AA472" s="180" t="s">
        <v>14</v>
      </c>
      <c r="AB472" s="180" t="s">
        <v>460</v>
      </c>
    </row>
    <row r="473" spans="1:28" s="184" customFormat="1" hidden="1" x14ac:dyDescent="0.25">
      <c r="A473" s="182" t="s">
        <v>1152</v>
      </c>
      <c r="B473" s="185">
        <v>45484</v>
      </c>
      <c r="C473" s="185">
        <v>45482</v>
      </c>
      <c r="D473" s="186" t="s">
        <v>299</v>
      </c>
      <c r="E473" s="183">
        <v>349</v>
      </c>
      <c r="F473" s="195">
        <v>8.1</v>
      </c>
      <c r="G473" s="193"/>
      <c r="H473" s="136">
        <f>Tableau3384[[#This Row],[Montant
CHF]]+Tableau3384[[#This Row],[Abzug/Spesen
CHF]]</f>
        <v>349</v>
      </c>
      <c r="I473" s="188"/>
      <c r="J473" s="189"/>
      <c r="K473" s="189"/>
      <c r="L473" s="298"/>
      <c r="M473" s="194"/>
      <c r="N473" s="185">
        <v>45514</v>
      </c>
      <c r="O473" s="282" t="str">
        <f>IF(Tableau3384[[#This Row],[Date du paiement]]&gt;0,"",Tableau3384[[#This Row],[Montant
CHF]])</f>
        <v/>
      </c>
      <c r="P473" s="287" t="str">
        <f>IF(Tableau3384[[#This Row],[Date du paiement]]="",$B$4-Tableau3384[[#This Row],[Écheance]],"")</f>
        <v/>
      </c>
      <c r="Q473" s="168" t="str">
        <f>IF(Tableau3384[[#This Row],[Date du paiement]]="",IF(Tableau3384[[#This Row],[jours jusqu''à l''écheance]]&gt;0,Tableau3384[[#This Row],[Montant
CHF]],""),"")</f>
        <v/>
      </c>
      <c r="R473" s="298" t="str">
        <f>IF(Tableau3384[[#This Row],[Date du paiement]]="",IF(Tableau3384[[#This Row],[jours jusqu''à l''écheance]]-($B$4-$B$11-1)&gt;0,Tableau3384[[#This Row],[Montant
CHF]],""),"")</f>
        <v/>
      </c>
      <c r="S473" s="142"/>
      <c r="T473" s="168" t="str">
        <f>IF(Tableau3384[[#This Row],[Paiements prevus]]="oui",Tableau3384[[#This Row],[Montant prevu à payer CH]],"")</f>
        <v/>
      </c>
      <c r="U473" s="177"/>
      <c r="V473" s="192" t="s">
        <v>735</v>
      </c>
      <c r="W473" s="190"/>
      <c r="X473" s="187">
        <v>45516</v>
      </c>
      <c r="Y473" s="181" t="s">
        <v>58</v>
      </c>
      <c r="Z473" s="120" t="str">
        <f>IF(Tableau3384[[#This Row],[Méthode du paiement]]="Mastercard","OUI","")</f>
        <v/>
      </c>
      <c r="AA473" s="180" t="s">
        <v>43</v>
      </c>
      <c r="AB473" s="180" t="s">
        <v>1154</v>
      </c>
    </row>
    <row r="474" spans="1:28" s="184" customFormat="1" hidden="1" x14ac:dyDescent="0.25">
      <c r="A474" s="182" t="s">
        <v>1153</v>
      </c>
      <c r="B474" s="185">
        <v>45484</v>
      </c>
      <c r="C474" s="185">
        <v>45482</v>
      </c>
      <c r="D474" s="186" t="s">
        <v>299</v>
      </c>
      <c r="E474" s="183">
        <v>103</v>
      </c>
      <c r="F474" s="195">
        <v>8.1</v>
      </c>
      <c r="G474" s="193"/>
      <c r="H474" s="136">
        <f>Tableau3384[[#This Row],[Montant
CHF]]+Tableau3384[[#This Row],[Abzug/Spesen
CHF]]</f>
        <v>103</v>
      </c>
      <c r="I474" s="188"/>
      <c r="J474" s="189"/>
      <c r="K474" s="189"/>
      <c r="L474" s="298"/>
      <c r="M474" s="194"/>
      <c r="N474" s="185">
        <v>45514</v>
      </c>
      <c r="O474" s="282" t="str">
        <f>IF(Tableau3384[[#This Row],[Date du paiement]]&gt;0,"",Tableau3384[[#This Row],[Montant
CHF]])</f>
        <v/>
      </c>
      <c r="P474" s="287" t="str">
        <f>IF(Tableau3384[[#This Row],[Date du paiement]]="",$B$4-Tableau3384[[#This Row],[Écheance]],"")</f>
        <v/>
      </c>
      <c r="Q474" s="168" t="str">
        <f>IF(Tableau3384[[#This Row],[Date du paiement]]="",IF(Tableau3384[[#This Row],[jours jusqu''à l''écheance]]&gt;0,Tableau3384[[#This Row],[Montant
CHF]],""),"")</f>
        <v/>
      </c>
      <c r="R474" s="298" t="str">
        <f>IF(Tableau3384[[#This Row],[Date du paiement]]="",IF(Tableau3384[[#This Row],[jours jusqu''à l''écheance]]-($B$4-$B$11-1)&gt;0,Tableau3384[[#This Row],[Montant
CHF]],""),"")</f>
        <v/>
      </c>
      <c r="S474" s="142"/>
      <c r="T474" s="168" t="str">
        <f>IF(Tableau3384[[#This Row],[Paiements prevus]]="oui",Tableau3384[[#This Row],[Montant prevu à payer CH]],"")</f>
        <v/>
      </c>
      <c r="U474" s="177"/>
      <c r="V474" s="192" t="s">
        <v>735</v>
      </c>
      <c r="W474" s="190"/>
      <c r="X474" s="187">
        <v>45516</v>
      </c>
      <c r="Y474" s="181" t="s">
        <v>58</v>
      </c>
      <c r="Z474" s="120" t="str">
        <f>IF(Tableau3384[[#This Row],[Méthode du paiement]]="Mastercard","OUI","")</f>
        <v/>
      </c>
      <c r="AA474" s="180" t="s">
        <v>43</v>
      </c>
      <c r="AB474" s="180" t="s">
        <v>1155</v>
      </c>
    </row>
    <row r="475" spans="1:28" s="184" customFormat="1" hidden="1" x14ac:dyDescent="0.25">
      <c r="A475" s="182" t="s">
        <v>1177</v>
      </c>
      <c r="B475" s="185">
        <v>45484</v>
      </c>
      <c r="C475" s="185">
        <v>45484</v>
      </c>
      <c r="D475" s="186" t="s">
        <v>22</v>
      </c>
      <c r="E475" s="183">
        <v>1535</v>
      </c>
      <c r="F475" s="195">
        <v>8.1</v>
      </c>
      <c r="G475" s="193">
        <v>-30.7</v>
      </c>
      <c r="H475" s="136">
        <f>Tableau3384[[#This Row],[Montant
CHF]]+Tableau3384[[#This Row],[Abzug/Spesen
CHF]]</f>
        <v>1504.3</v>
      </c>
      <c r="I475" s="188"/>
      <c r="J475" s="189"/>
      <c r="K475" s="189"/>
      <c r="L475" s="298"/>
      <c r="M475" s="194"/>
      <c r="N475" s="185">
        <v>45494</v>
      </c>
      <c r="O475" s="282" t="str">
        <f>IF(Tableau3384[[#This Row],[Date du paiement]]&gt;0,"",Tableau3384[[#This Row],[Montant
CHF]])</f>
        <v/>
      </c>
      <c r="P475" s="287" t="str">
        <f>IF(Tableau3384[[#This Row],[Date du paiement]]="",$B$4-Tableau3384[[#This Row],[Écheance]],"")</f>
        <v/>
      </c>
      <c r="Q475" s="168" t="str">
        <f>IF(Tableau3384[[#This Row],[Date du paiement]]="",IF(Tableau3384[[#This Row],[jours jusqu''à l''écheance]]&gt;0,Tableau3384[[#This Row],[Montant
CHF]],""),"")</f>
        <v/>
      </c>
      <c r="R475" s="298" t="str">
        <f>IF(Tableau3384[[#This Row],[Date du paiement]]="",IF(Tableau3384[[#This Row],[jours jusqu''à l''écheance]]-($B$4-$B$11-1)&gt;0,Tableau3384[[#This Row],[Montant
CHF]],""),"")</f>
        <v/>
      </c>
      <c r="S475" s="142"/>
      <c r="T475" s="168" t="str">
        <f>IF(Tableau3384[[#This Row],[Paiements prevus]]="oui",Tableau3384[[#This Row],[Montant prevu à payer CH]],"")</f>
        <v/>
      </c>
      <c r="U475" s="177"/>
      <c r="V475" s="192" t="s">
        <v>738</v>
      </c>
      <c r="W475" s="190"/>
      <c r="X475" s="187">
        <v>45495</v>
      </c>
      <c r="Y475" s="181" t="s">
        <v>58</v>
      </c>
      <c r="Z475" s="120" t="str">
        <f>IF(Tableau3384[[#This Row],[Méthode du paiement]]="Mastercard","OUI","")</f>
        <v/>
      </c>
      <c r="AA475" s="180" t="s">
        <v>14</v>
      </c>
      <c r="AB475" s="180" t="s">
        <v>1180</v>
      </c>
    </row>
    <row r="476" spans="1:28" s="184" customFormat="1" hidden="1" x14ac:dyDescent="0.25">
      <c r="A476" s="182" t="s">
        <v>1195</v>
      </c>
      <c r="B476" s="185">
        <v>45485</v>
      </c>
      <c r="C476" s="185">
        <v>45488</v>
      </c>
      <c r="D476" s="186" t="s">
        <v>35</v>
      </c>
      <c r="E476" s="183">
        <v>3461.25</v>
      </c>
      <c r="F476" s="195">
        <v>0</v>
      </c>
      <c r="G476" s="193"/>
      <c r="H476" s="136">
        <f>Tableau3384[[#This Row],[Montant
CHF]]+Tableau3384[[#This Row],[Abzug/Spesen
CHF]]</f>
        <v>3461.25</v>
      </c>
      <c r="I476" s="188"/>
      <c r="J476" s="189"/>
      <c r="K476" s="189"/>
      <c r="L476" s="298"/>
      <c r="M476" s="194" t="s">
        <v>1256</v>
      </c>
      <c r="N476" s="185">
        <v>45516</v>
      </c>
      <c r="O476" s="282" t="str">
        <f>IF(Tableau3384[[#This Row],[Date du paiement]]&gt;0,"",Tableau3384[[#This Row],[Montant
CHF]])</f>
        <v/>
      </c>
      <c r="P476" s="287" t="str">
        <f>IF(Tableau3384[[#This Row],[Date du paiement]]="",$B$4-Tableau3384[[#This Row],[Écheance]],"")</f>
        <v/>
      </c>
      <c r="Q476" s="168" t="str">
        <f>IF(Tableau3384[[#This Row],[Date du paiement]]="",IF(Tableau3384[[#This Row],[jours jusqu''à l''écheance]]&gt;0,Tableau3384[[#This Row],[Montant
CHF]],""),"")</f>
        <v/>
      </c>
      <c r="R476" s="298" t="str">
        <f>IF(Tableau3384[[#This Row],[Date du paiement]]="",IF(Tableau3384[[#This Row],[jours jusqu''à l''écheance]]-($B$4-$B$11-1)&gt;0,Tableau3384[[#This Row],[Montant
CHF]],""),"")</f>
        <v/>
      </c>
      <c r="S476" s="142"/>
      <c r="T476" s="168" t="str">
        <f>IF(Tableau3384[[#This Row],[Paiements prevus]]="oui",Tableau3384[[#This Row],[Montant prevu à payer CH]],"")</f>
        <v/>
      </c>
      <c r="U476" s="177"/>
      <c r="V476" s="192" t="s">
        <v>789</v>
      </c>
      <c r="W476" s="190"/>
      <c r="X476" s="187">
        <v>45516</v>
      </c>
      <c r="Y476" s="181" t="s">
        <v>58</v>
      </c>
      <c r="Z476" s="120" t="str">
        <f>IF(Tableau3384[[#This Row],[Méthode du paiement]]="Mastercard","OUI","")</f>
        <v/>
      </c>
      <c r="AA476" s="180" t="s">
        <v>4</v>
      </c>
      <c r="AB476" s="180" t="s">
        <v>1196</v>
      </c>
    </row>
    <row r="477" spans="1:28" s="184" customFormat="1" hidden="1" x14ac:dyDescent="0.25">
      <c r="A477" s="182" t="s">
        <v>1197</v>
      </c>
      <c r="B477" s="185">
        <v>45485</v>
      </c>
      <c r="C477" s="185">
        <v>45488</v>
      </c>
      <c r="D477" s="186" t="s">
        <v>196</v>
      </c>
      <c r="E477" s="183">
        <v>307.2</v>
      </c>
      <c r="F477" s="195">
        <v>8.1</v>
      </c>
      <c r="G477" s="193"/>
      <c r="H477" s="136">
        <f>Tableau3384[[#This Row],[Montant
CHF]]+Tableau3384[[#This Row],[Abzug/Spesen
CHF]]</f>
        <v>307.2</v>
      </c>
      <c r="I477" s="188"/>
      <c r="J477" s="189"/>
      <c r="K477" s="189"/>
      <c r="L477" s="298"/>
      <c r="M477" s="194"/>
      <c r="N477" s="185">
        <v>45495</v>
      </c>
      <c r="O477" s="282" t="str">
        <f>IF(Tableau3384[[#This Row],[Date du paiement]]&gt;0,"",Tableau3384[[#This Row],[Montant
CHF]])</f>
        <v/>
      </c>
      <c r="P477" s="287" t="str">
        <f>IF(Tableau3384[[#This Row],[Date du paiement]]="",$B$4-Tableau3384[[#This Row],[Écheance]],"")</f>
        <v/>
      </c>
      <c r="Q477" s="168" t="str">
        <f>IF(Tableau3384[[#This Row],[Date du paiement]]="",IF(Tableau3384[[#This Row],[jours jusqu''à l''écheance]]&gt;0,Tableau3384[[#This Row],[Montant
CHF]],""),"")</f>
        <v/>
      </c>
      <c r="R477" s="298" t="str">
        <f>IF(Tableau3384[[#This Row],[Date du paiement]]="",IF(Tableau3384[[#This Row],[jours jusqu''à l''écheance]]-($B$4-$B$11-1)&gt;0,Tableau3384[[#This Row],[Montant
CHF]],""),"")</f>
        <v/>
      </c>
      <c r="S477" s="142"/>
      <c r="T477" s="168" t="str">
        <f>IF(Tableau3384[[#This Row],[Paiements prevus]]="oui",Tableau3384[[#This Row],[Montant prevu à payer CH]],"")</f>
        <v/>
      </c>
      <c r="U477" s="177"/>
      <c r="V477" s="192" t="s">
        <v>735</v>
      </c>
      <c r="W477" s="190"/>
      <c r="X477" s="187">
        <v>45516</v>
      </c>
      <c r="Y477" s="181" t="s">
        <v>58</v>
      </c>
      <c r="Z477" s="120" t="str">
        <f>IF(Tableau3384[[#This Row],[Méthode du paiement]]="Mastercard","OUI","")</f>
        <v/>
      </c>
      <c r="AA477" s="180" t="s">
        <v>4</v>
      </c>
      <c r="AB477" s="180" t="s">
        <v>1198</v>
      </c>
    </row>
    <row r="478" spans="1:28" s="184" customFormat="1" hidden="1" x14ac:dyDescent="0.25">
      <c r="A478" s="182" t="s">
        <v>56</v>
      </c>
      <c r="B478" s="185">
        <v>45485</v>
      </c>
      <c r="C478" s="185">
        <v>45489</v>
      </c>
      <c r="D478" s="186" t="s">
        <v>57</v>
      </c>
      <c r="E478" s="183">
        <v>2865.85</v>
      </c>
      <c r="F478" s="195" t="s">
        <v>0</v>
      </c>
      <c r="G478" s="193"/>
      <c r="H478" s="136">
        <f>Tableau3384[[#This Row],[Montant
CHF]]+Tableau3384[[#This Row],[Abzug/Spesen
CHF]]</f>
        <v>2865.85</v>
      </c>
      <c r="I478" s="188"/>
      <c r="J478" s="189"/>
      <c r="K478" s="189"/>
      <c r="L478" s="298"/>
      <c r="M478" s="194"/>
      <c r="N478" s="185">
        <v>45505</v>
      </c>
      <c r="O478" s="282" t="str">
        <f>IF(Tableau3384[[#This Row],[Date du paiement]]&gt;0,"",Tableau3384[[#This Row],[Montant
CHF]])</f>
        <v/>
      </c>
      <c r="P478" s="287" t="str">
        <f>IF(Tableau3384[[#This Row],[Date du paiement]]="",$B$4-Tableau3384[[#This Row],[Écheance]],"")</f>
        <v/>
      </c>
      <c r="Q478" s="168" t="str">
        <f>IF(Tableau3384[[#This Row],[Date du paiement]]="",IF(Tableau3384[[#This Row],[jours jusqu''à l''écheance]]&gt;0,Tableau3384[[#This Row],[Montant
CHF]],""),"")</f>
        <v/>
      </c>
      <c r="R478" s="298" t="str">
        <f>IF(Tableau3384[[#This Row],[Date du paiement]]="",IF(Tableau3384[[#This Row],[jours jusqu''à l''écheance]]-($B$4-$B$11-1)&gt;0,Tableau3384[[#This Row],[Montant
CHF]],""),"")</f>
        <v/>
      </c>
      <c r="S478" s="142"/>
      <c r="T478" s="168" t="str">
        <f>IF(Tableau3384[[#This Row],[Paiements prevus]]="oui",Tableau3384[[#This Row],[Montant prevu à payer CH]],"")</f>
        <v/>
      </c>
      <c r="U478" s="177"/>
      <c r="V478" s="192" t="s">
        <v>799</v>
      </c>
      <c r="W478" s="190"/>
      <c r="X478" s="187">
        <v>45504</v>
      </c>
      <c r="Y478" s="181" t="s">
        <v>58</v>
      </c>
      <c r="Z478" s="120" t="str">
        <f>IF(Tableau3384[[#This Row],[Méthode du paiement]]="Mastercard","OUI","")</f>
        <v/>
      </c>
      <c r="AA478" s="180" t="s">
        <v>43</v>
      </c>
      <c r="AB478" s="180" t="s">
        <v>557</v>
      </c>
    </row>
    <row r="479" spans="1:28" s="184" customFormat="1" hidden="1" x14ac:dyDescent="0.25">
      <c r="A479" s="182" t="s">
        <v>1199</v>
      </c>
      <c r="B479" s="185">
        <v>45488</v>
      </c>
      <c r="C479" s="185">
        <v>45489</v>
      </c>
      <c r="D479" s="186" t="s">
        <v>1200</v>
      </c>
      <c r="E479" s="183">
        <v>240</v>
      </c>
      <c r="F479" s="195">
        <v>0</v>
      </c>
      <c r="G479" s="193"/>
      <c r="H479" s="136">
        <f>Tableau3384[[#This Row],[Montant
CHF]]+Tableau3384[[#This Row],[Abzug/Spesen
CHF]]</f>
        <v>240</v>
      </c>
      <c r="I479" s="188"/>
      <c r="J479" s="189"/>
      <c r="K479" s="189"/>
      <c r="L479" s="298"/>
      <c r="M479" s="194"/>
      <c r="N479" s="185">
        <v>45503</v>
      </c>
      <c r="O479" s="282" t="str">
        <f>IF(Tableau3384[[#This Row],[Date du paiement]]&gt;0,"",Tableau3384[[#This Row],[Montant
CHF]])</f>
        <v/>
      </c>
      <c r="P479" s="287" t="str">
        <f>IF(Tableau3384[[#This Row],[Date du paiement]]="",$B$4-Tableau3384[[#This Row],[Écheance]],"")</f>
        <v/>
      </c>
      <c r="Q479" s="168" t="str">
        <f>IF(Tableau3384[[#This Row],[Date du paiement]]="",IF(Tableau3384[[#This Row],[jours jusqu''à l''écheance]]&gt;0,Tableau3384[[#This Row],[Montant
CHF]],""),"")</f>
        <v/>
      </c>
      <c r="R479" s="298" t="str">
        <f>IF(Tableau3384[[#This Row],[Date du paiement]]="",IF(Tableau3384[[#This Row],[jours jusqu''à l''écheance]]-($B$4-$B$11-1)&gt;0,Tableau3384[[#This Row],[Montant
CHF]],""),"")</f>
        <v/>
      </c>
      <c r="S479" s="142"/>
      <c r="T479" s="168" t="str">
        <f>IF(Tableau3384[[#This Row],[Paiements prevus]]="oui",Tableau3384[[#This Row],[Montant prevu à payer CH]],"")</f>
        <v/>
      </c>
      <c r="U479" s="177"/>
      <c r="V479" s="192" t="s">
        <v>738</v>
      </c>
      <c r="W479" s="190"/>
      <c r="X479" s="187">
        <v>45520</v>
      </c>
      <c r="Y479" s="181" t="s">
        <v>58</v>
      </c>
      <c r="Z479" s="120" t="str">
        <f>IF(Tableau3384[[#This Row],[Méthode du paiement]]="Mastercard","OUI","")</f>
        <v/>
      </c>
      <c r="AA479" s="180" t="s">
        <v>1201</v>
      </c>
      <c r="AB479" s="180" t="s">
        <v>1202</v>
      </c>
    </row>
    <row r="480" spans="1:28" s="184" customFormat="1" hidden="1" x14ac:dyDescent="0.25">
      <c r="A480" s="182" t="s">
        <v>1204</v>
      </c>
      <c r="B480" s="185">
        <v>45489</v>
      </c>
      <c r="C480" s="185">
        <v>45489</v>
      </c>
      <c r="D480" s="186" t="s">
        <v>22</v>
      </c>
      <c r="E480" s="183">
        <v>1978.25</v>
      </c>
      <c r="F480" s="195">
        <v>8.1</v>
      </c>
      <c r="G480" s="193">
        <v>-39.56</v>
      </c>
      <c r="H480" s="136">
        <f>Tableau3384[[#This Row],[Montant
CHF]]+Tableau3384[[#This Row],[Abzug/Spesen
CHF]]</f>
        <v>1938.69</v>
      </c>
      <c r="I480" s="188"/>
      <c r="J480" s="189"/>
      <c r="K480" s="189"/>
      <c r="L480" s="298"/>
      <c r="M480" s="194"/>
      <c r="N480" s="185">
        <v>45499</v>
      </c>
      <c r="O480" s="282" t="str">
        <f>IF(Tableau3384[[#This Row],[Date du paiement]]&gt;0,"",Tableau3384[[#This Row],[Montant
CHF]])</f>
        <v/>
      </c>
      <c r="P480" s="287" t="str">
        <f>IF(Tableau3384[[#This Row],[Date du paiement]]="",$B$4-Tableau3384[[#This Row],[Écheance]],"")</f>
        <v/>
      </c>
      <c r="Q480" s="168" t="str">
        <f>IF(Tableau3384[[#This Row],[Date du paiement]]="",IF(Tableau3384[[#This Row],[jours jusqu''à l''écheance]]&gt;0,Tableau3384[[#This Row],[Montant
CHF]],""),"")</f>
        <v/>
      </c>
      <c r="R480" s="298" t="str">
        <f>IF(Tableau3384[[#This Row],[Date du paiement]]="",IF(Tableau3384[[#This Row],[jours jusqu''à l''écheance]]-($B$4-$B$11-1)&gt;0,Tableau3384[[#This Row],[Montant
CHF]],""),"")</f>
        <v/>
      </c>
      <c r="S480" s="142"/>
      <c r="T480" s="168" t="str">
        <f>IF(Tableau3384[[#This Row],[Paiements prevus]]="oui",Tableau3384[[#This Row],[Montant prevu à payer CH]],"")</f>
        <v/>
      </c>
      <c r="U480" s="177"/>
      <c r="V480" s="192" t="s">
        <v>738</v>
      </c>
      <c r="W480" s="190"/>
      <c r="X480" s="187">
        <v>45499</v>
      </c>
      <c r="Y480" s="181" t="s">
        <v>58</v>
      </c>
      <c r="Z480" s="120" t="str">
        <f>IF(Tableau3384[[#This Row],[Méthode du paiement]]="Mastercard","OUI","")</f>
        <v/>
      </c>
      <c r="AA480" s="180" t="s">
        <v>14</v>
      </c>
      <c r="AB480" s="180" t="s">
        <v>1205</v>
      </c>
    </row>
    <row r="481" spans="1:28" s="184" customFormat="1" hidden="1" x14ac:dyDescent="0.25">
      <c r="A481" s="182" t="s">
        <v>1220</v>
      </c>
      <c r="B481" s="185">
        <v>45489</v>
      </c>
      <c r="C481" s="185">
        <v>45490</v>
      </c>
      <c r="D481" s="186" t="s">
        <v>666</v>
      </c>
      <c r="E481" s="183">
        <v>2260</v>
      </c>
      <c r="F481" s="195">
        <v>0</v>
      </c>
      <c r="G481" s="193"/>
      <c r="H481" s="136">
        <f>Tableau3384[[#This Row],[Montant
CHF]]+Tableau3384[[#This Row],[Abzug/Spesen
CHF]]</f>
        <v>2260</v>
      </c>
      <c r="I481" s="188"/>
      <c r="J481" s="189"/>
      <c r="K481" s="189"/>
      <c r="L481" s="298"/>
      <c r="M481" s="194" t="s">
        <v>1221</v>
      </c>
      <c r="N481" s="185">
        <v>45489</v>
      </c>
      <c r="O481" s="282" t="str">
        <f>IF(Tableau3384[[#This Row],[Date du paiement]]&gt;0,"",Tableau3384[[#This Row],[Montant
CHF]])</f>
        <v/>
      </c>
      <c r="P481" s="287" t="str">
        <f>IF(Tableau3384[[#This Row],[Date du paiement]]="",$B$4-Tableau3384[[#This Row],[Écheance]],"")</f>
        <v/>
      </c>
      <c r="Q481" s="168" t="str">
        <f>IF(Tableau3384[[#This Row],[Date du paiement]]="",IF(Tableau3384[[#This Row],[jours jusqu''à l''écheance]]&gt;0,Tableau3384[[#This Row],[Montant
CHF]],""),"")</f>
        <v/>
      </c>
      <c r="R481" s="298" t="str">
        <f>IF(Tableau3384[[#This Row],[Date du paiement]]="",IF(Tableau3384[[#This Row],[jours jusqu''à l''écheance]]-($B$4-$B$11-1)&gt;0,Tableau3384[[#This Row],[Montant
CHF]],""),"")</f>
        <v/>
      </c>
      <c r="S481" s="142"/>
      <c r="T481" s="168" t="str">
        <f>IF(Tableau3384[[#This Row],[Paiements prevus]]="oui",Tableau3384[[#This Row],[Montant prevu à payer CH]],"")</f>
        <v/>
      </c>
      <c r="U481" s="177"/>
      <c r="V481" s="192" t="s">
        <v>737</v>
      </c>
      <c r="W481" s="190"/>
      <c r="X481" s="187">
        <v>45520</v>
      </c>
      <c r="Y481" s="181" t="s">
        <v>58</v>
      </c>
      <c r="Z481" s="120" t="str">
        <f>IF(Tableau3384[[#This Row],[Méthode du paiement]]="Mastercard","OUI","")</f>
        <v/>
      </c>
      <c r="AA481" s="180" t="s">
        <v>14</v>
      </c>
      <c r="AB481" s="180" t="s">
        <v>667</v>
      </c>
    </row>
    <row r="482" spans="1:28" s="184" customFormat="1" hidden="1" x14ac:dyDescent="0.25">
      <c r="A482" s="182" t="s">
        <v>1211</v>
      </c>
      <c r="B482" s="185">
        <v>45489</v>
      </c>
      <c r="C482" s="185">
        <v>45491</v>
      </c>
      <c r="D482" s="186" t="s">
        <v>117</v>
      </c>
      <c r="E482" s="183">
        <f>Tableau3384[[#This Row],[Montant
EUR]]*Tableau3384[[#This Row],[Taux 
de change]]</f>
        <v>3095.7899970000003</v>
      </c>
      <c r="F482" s="195">
        <v>0</v>
      </c>
      <c r="G482" s="193"/>
      <c r="H482" s="136">
        <f>Tableau3384[[#This Row],[Montant
CHF]]+Tableau3384[[#This Row],[Abzug/Spesen
CHF]]</f>
        <v>3095.7899970000003</v>
      </c>
      <c r="I482" s="188">
        <v>0.95904275000000005</v>
      </c>
      <c r="J482" s="189">
        <v>3228</v>
      </c>
      <c r="K482" s="189"/>
      <c r="L482" s="298"/>
      <c r="M482" s="194"/>
      <c r="N482" s="185">
        <v>45519</v>
      </c>
      <c r="O482" s="282" t="str">
        <f>IF(Tableau3384[[#This Row],[Date du paiement]]&gt;0,"",Tableau3384[[#This Row],[Montant
CHF]])</f>
        <v/>
      </c>
      <c r="P482" s="287" t="str">
        <f>IF(Tableau3384[[#This Row],[Date du paiement]]="",$B$4-Tableau3384[[#This Row],[Écheance]],"")</f>
        <v/>
      </c>
      <c r="Q482" s="168" t="str">
        <f>IF(Tableau3384[[#This Row],[Date du paiement]]="",IF(Tableau3384[[#This Row],[jours jusqu''à l''écheance]]&gt;0,Tableau3384[[#This Row],[Montant
CHF]],""),"")</f>
        <v/>
      </c>
      <c r="R482" s="298" t="str">
        <f>IF(Tableau3384[[#This Row],[Date du paiement]]="",IF(Tableau3384[[#This Row],[jours jusqu''à l''écheance]]-($B$4-$B$11-1)&gt;0,Tableau3384[[#This Row],[Montant
CHF]],""),"")</f>
        <v/>
      </c>
      <c r="S482" s="142"/>
      <c r="T482" s="168" t="str">
        <f>IF(Tableau3384[[#This Row],[Paiements prevus]]="oui",Tableau3384[[#This Row],[Montant prevu à payer CH]],"")</f>
        <v/>
      </c>
      <c r="U482" s="177"/>
      <c r="V482" s="192" t="s">
        <v>737</v>
      </c>
      <c r="W482" s="190"/>
      <c r="X482" s="187">
        <v>45520</v>
      </c>
      <c r="Y482" s="181" t="s">
        <v>58</v>
      </c>
      <c r="Z482" s="120" t="str">
        <f>IF(Tableau3384[[#This Row],[Méthode du paiement]]="Mastercard","OUI","")</f>
        <v/>
      </c>
      <c r="AA482" s="180" t="s">
        <v>14</v>
      </c>
      <c r="AB482" s="180" t="s">
        <v>1213</v>
      </c>
    </row>
    <row r="483" spans="1:28" s="184" customFormat="1" hidden="1" x14ac:dyDescent="0.25">
      <c r="A483" s="182" t="s">
        <v>1212</v>
      </c>
      <c r="B483" s="185">
        <v>45489</v>
      </c>
      <c r="C483" s="185">
        <v>45491</v>
      </c>
      <c r="D483" s="186" t="s">
        <v>117</v>
      </c>
      <c r="E483" s="183">
        <f>Tableau3384[[#This Row],[Montant
EUR]]*Tableau3384[[#This Row],[Taux 
de change]]</f>
        <v>393.16999199999998</v>
      </c>
      <c r="F483" s="195">
        <v>0</v>
      </c>
      <c r="G483" s="193"/>
      <c r="H483" s="136">
        <f>Tableau3384[[#This Row],[Montant
CHF]]+Tableau3384[[#This Row],[Abzug/Spesen
CHF]]</f>
        <v>393.16999199999998</v>
      </c>
      <c r="I483" s="188">
        <v>0.9589512</v>
      </c>
      <c r="J483" s="189">
        <v>410</v>
      </c>
      <c r="K483" s="189"/>
      <c r="L483" s="298"/>
      <c r="M483" s="194"/>
      <c r="N483" s="185">
        <v>45519</v>
      </c>
      <c r="O483" s="282" t="str">
        <f>IF(Tableau3384[[#This Row],[Date du paiement]]&gt;0,"",Tableau3384[[#This Row],[Montant
CHF]])</f>
        <v/>
      </c>
      <c r="P483" s="287" t="str">
        <f>IF(Tableau3384[[#This Row],[Date du paiement]]="",$B$4-Tableau3384[[#This Row],[Écheance]],"")</f>
        <v/>
      </c>
      <c r="Q483" s="168" t="str">
        <f>IF(Tableau3384[[#This Row],[Date du paiement]]="",IF(Tableau3384[[#This Row],[jours jusqu''à l''écheance]]&gt;0,Tableau3384[[#This Row],[Montant
CHF]],""),"")</f>
        <v/>
      </c>
      <c r="R483" s="298" t="str">
        <f>IF(Tableau3384[[#This Row],[Date du paiement]]="",IF(Tableau3384[[#This Row],[jours jusqu''à l''écheance]]-($B$4-$B$11-1)&gt;0,Tableau3384[[#This Row],[Montant
CHF]],""),"")</f>
        <v/>
      </c>
      <c r="S483" s="142"/>
      <c r="T483" s="168" t="str">
        <f>IF(Tableau3384[[#This Row],[Paiements prevus]]="oui",Tableau3384[[#This Row],[Montant prevu à payer CH]],"")</f>
        <v/>
      </c>
      <c r="U483" s="177"/>
      <c r="V483" s="192" t="s">
        <v>737</v>
      </c>
      <c r="W483" s="190"/>
      <c r="X483" s="187">
        <v>45520</v>
      </c>
      <c r="Y483" s="181" t="s">
        <v>58</v>
      </c>
      <c r="Z483" s="120" t="str">
        <f>IF(Tableau3384[[#This Row],[Méthode du paiement]]="Mastercard","OUI","")</f>
        <v/>
      </c>
      <c r="AA483" s="180" t="s">
        <v>11</v>
      </c>
      <c r="AB483" s="180" t="s">
        <v>1213</v>
      </c>
    </row>
    <row r="484" spans="1:28" s="184" customFormat="1" hidden="1" x14ac:dyDescent="0.25">
      <c r="A484" s="182" t="s">
        <v>1326</v>
      </c>
      <c r="B484" s="185">
        <v>45489</v>
      </c>
      <c r="C484" s="185">
        <v>45517</v>
      </c>
      <c r="D484" s="186" t="s">
        <v>104</v>
      </c>
      <c r="E484" s="183">
        <v>179.3</v>
      </c>
      <c r="F484" s="195">
        <v>8.1</v>
      </c>
      <c r="G484" s="193"/>
      <c r="H484" s="136">
        <f>Tableau3384[[#This Row],[Montant
CHF]]+Tableau3384[[#This Row],[Abzug/Spesen
CHF]]</f>
        <v>179.3</v>
      </c>
      <c r="I484" s="188"/>
      <c r="J484" s="189"/>
      <c r="K484" s="189"/>
      <c r="L484" s="298"/>
      <c r="M484" s="194"/>
      <c r="N484" s="185">
        <v>45489</v>
      </c>
      <c r="O484" s="282" t="str">
        <f>IF(Tableau3384[[#This Row],[Date du paiement]]&gt;0,"",Tableau3384[[#This Row],[Montant
CHF]])</f>
        <v/>
      </c>
      <c r="P484" s="287" t="str">
        <f>IF(Tableau3384[[#This Row],[Date du paiement]]="",$B$4-Tableau3384[[#This Row],[Écheance]],"")</f>
        <v/>
      </c>
      <c r="Q484" s="168" t="str">
        <f>IF(Tableau3384[[#This Row],[Date du paiement]]="",IF(Tableau3384[[#This Row],[jours jusqu''à l''écheance]]&gt;0,Tableau3384[[#This Row],[Montant
CHF]],""),"")</f>
        <v/>
      </c>
      <c r="R484" s="298" t="str">
        <f>IF(Tableau3384[[#This Row],[Date du paiement]]="",IF(Tableau3384[[#This Row],[jours jusqu''à l''écheance]]&gt;0,Tableau3384[[#This Row],[Montant
CHF]],""),"")</f>
        <v/>
      </c>
      <c r="S484" s="142"/>
      <c r="T484" s="168" t="str">
        <f>IF(Tableau3384[[#This Row],[Paiements prevus]]="oui",Tableau3384[[#This Row],[Montant prevu à payer CH]],"")</f>
        <v/>
      </c>
      <c r="U484" s="177"/>
      <c r="V484" s="192" t="s">
        <v>799</v>
      </c>
      <c r="W484" s="190"/>
      <c r="X484" s="187">
        <v>45489</v>
      </c>
      <c r="Y484" s="181" t="s">
        <v>105</v>
      </c>
      <c r="Z484" s="120" t="str">
        <f>IF(Tableau3384[[#This Row],[Méthode du paiement]]="Mastercard","OUI","")</f>
        <v>OUI</v>
      </c>
      <c r="AA484" s="180" t="s">
        <v>14</v>
      </c>
      <c r="AB484" s="180" t="s">
        <v>1327</v>
      </c>
    </row>
    <row r="485" spans="1:28" s="184" customFormat="1" hidden="1" x14ac:dyDescent="0.25">
      <c r="A485" s="182" t="s">
        <v>1214</v>
      </c>
      <c r="B485" s="185">
        <v>45490</v>
      </c>
      <c r="C485" s="185">
        <v>45490</v>
      </c>
      <c r="D485" s="186" t="s">
        <v>216</v>
      </c>
      <c r="E485" s="183">
        <v>324.25</v>
      </c>
      <c r="F485" s="195">
        <v>100</v>
      </c>
      <c r="G485" s="193"/>
      <c r="H485" s="136">
        <f>Tableau3384[[#This Row],[Montant
CHF]]+Tableau3384[[#This Row],[Abzug/Spesen
CHF]]</f>
        <v>324.25</v>
      </c>
      <c r="I485" s="188"/>
      <c r="J485" s="189"/>
      <c r="K485" s="189"/>
      <c r="L485" s="298"/>
      <c r="M485" s="194"/>
      <c r="N485" s="185">
        <v>45551</v>
      </c>
      <c r="O485" s="282" t="str">
        <f>IF(Tableau3384[[#This Row],[Date du paiement]]&gt;0,"",Tableau3384[[#This Row],[Montant
CHF]])</f>
        <v/>
      </c>
      <c r="P485" s="287" t="str">
        <f>IF(Tableau3384[[#This Row],[Date du paiement]]="",$B$4-Tableau3384[[#This Row],[Écheance]],"")</f>
        <v/>
      </c>
      <c r="Q485" s="168" t="str">
        <f>IF(Tableau3384[[#This Row],[Date du paiement]]="",IF(Tableau3384[[#This Row],[jours jusqu''à l''écheance]]&gt;0,Tableau3384[[#This Row],[Montant
CHF]],""),"")</f>
        <v/>
      </c>
      <c r="R485" s="298" t="str">
        <f>IF(Tableau3384[[#This Row],[Date du paiement]]="",IF(Tableau3384[[#This Row],[jours jusqu''à l''écheance]]-($B$4-$B$11-1)&gt;0,Tableau3384[[#This Row],[Montant
CHF]],""),"")</f>
        <v/>
      </c>
      <c r="S485" s="142"/>
      <c r="T485" s="168" t="str">
        <f>IF(Tableau3384[[#This Row],[Paiements prevus]]="oui",Tableau3384[[#This Row],[Montant prevu à payer CH]],"")</f>
        <v/>
      </c>
      <c r="U485" s="177"/>
      <c r="V485" s="192" t="s">
        <v>736</v>
      </c>
      <c r="W485" s="190"/>
      <c r="X485" s="187">
        <v>45551</v>
      </c>
      <c r="Y485" s="181" t="s">
        <v>58</v>
      </c>
      <c r="Z485" s="120" t="str">
        <f>IF(Tableau3384[[#This Row],[Méthode du paiement]]="Mastercard","OUI","")</f>
        <v/>
      </c>
      <c r="AA485" s="180" t="s">
        <v>604</v>
      </c>
      <c r="AB485" s="180" t="s">
        <v>1215</v>
      </c>
    </row>
    <row r="486" spans="1:28" s="184" customFormat="1" hidden="1" x14ac:dyDescent="0.25">
      <c r="A486" s="182" t="s">
        <v>1222</v>
      </c>
      <c r="B486" s="185">
        <v>45490</v>
      </c>
      <c r="C486" s="185">
        <v>45492</v>
      </c>
      <c r="D486" s="186" t="s">
        <v>1059</v>
      </c>
      <c r="E486" s="183">
        <v>3218.95</v>
      </c>
      <c r="F486" s="195">
        <v>2.6</v>
      </c>
      <c r="G486" s="193"/>
      <c r="H486" s="136">
        <f>Tableau3384[[#This Row],[Montant
CHF]]+Tableau3384[[#This Row],[Abzug/Spesen
CHF]]</f>
        <v>3218.95</v>
      </c>
      <c r="I486" s="188"/>
      <c r="J486" s="189"/>
      <c r="K486" s="189"/>
      <c r="L486" s="298"/>
      <c r="M486" s="194"/>
      <c r="N486" s="185">
        <v>45520</v>
      </c>
      <c r="O486" s="282" t="str">
        <f>IF(Tableau3384[[#This Row],[Date du paiement]]&gt;0,"",Tableau3384[[#This Row],[Montant
CHF]])</f>
        <v/>
      </c>
      <c r="P486" s="287" t="str">
        <f>IF(Tableau3384[[#This Row],[Date du paiement]]="",$B$4-Tableau3384[[#This Row],[Écheance]],"")</f>
        <v/>
      </c>
      <c r="Q486" s="168" t="str">
        <f>IF(Tableau3384[[#This Row],[Date du paiement]]="",IF(Tableau3384[[#This Row],[jours jusqu''à l''écheance]]&gt;0,Tableau3384[[#This Row],[Montant
CHF]],""),"")</f>
        <v/>
      </c>
      <c r="R486" s="298" t="str">
        <f>IF(Tableau3384[[#This Row],[Date du paiement]]="",IF(Tableau3384[[#This Row],[jours jusqu''à l''écheance]]-($B$4-$B$11-1)&gt;0,Tableau3384[[#This Row],[Montant
CHF]],""),"")</f>
        <v/>
      </c>
      <c r="S486" s="142"/>
      <c r="T486" s="168" t="str">
        <f>IF(Tableau3384[[#This Row],[Paiements prevus]]="oui",Tableau3384[[#This Row],[Montant prevu à payer CH]],"")</f>
        <v/>
      </c>
      <c r="U486" s="177"/>
      <c r="V486" s="192" t="s">
        <v>738</v>
      </c>
      <c r="W486" s="190"/>
      <c r="X486" s="187">
        <v>45523</v>
      </c>
      <c r="Y486" s="181" t="s">
        <v>58</v>
      </c>
      <c r="Z486" s="120" t="str">
        <f>IF(Tableau3384[[#This Row],[Méthode du paiement]]="Mastercard","OUI","")</f>
        <v/>
      </c>
      <c r="AA486" s="180" t="s">
        <v>14</v>
      </c>
      <c r="AB486" s="180" t="s">
        <v>1223</v>
      </c>
    </row>
    <row r="487" spans="1:28" s="184" customFormat="1" hidden="1" x14ac:dyDescent="0.25">
      <c r="A487" s="182" t="s">
        <v>1216</v>
      </c>
      <c r="B487" s="185">
        <v>45491</v>
      </c>
      <c r="C487" s="185">
        <v>45491</v>
      </c>
      <c r="D487" s="186" t="s">
        <v>25</v>
      </c>
      <c r="E487" s="183">
        <v>40</v>
      </c>
      <c r="F487" s="195">
        <v>0</v>
      </c>
      <c r="G487" s="193"/>
      <c r="H487" s="136">
        <f>Tableau3384[[#This Row],[Montant
CHF]]+Tableau3384[[#This Row],[Abzug/Spesen
CHF]]</f>
        <v>40</v>
      </c>
      <c r="I487" s="188"/>
      <c r="J487" s="189"/>
      <c r="K487" s="189"/>
      <c r="L487" s="298"/>
      <c r="M487" s="194"/>
      <c r="N487" s="185">
        <v>45491</v>
      </c>
      <c r="O487" s="282" t="str">
        <f>IF(Tableau3384[[#This Row],[Date du paiement]]&gt;0,"",Tableau3384[[#This Row],[Montant
CHF]])</f>
        <v/>
      </c>
      <c r="P487" s="287" t="str">
        <f>IF(Tableau3384[[#This Row],[Date du paiement]]="",$B$4-Tableau3384[[#This Row],[Écheance]],"")</f>
        <v/>
      </c>
      <c r="Q487" s="168" t="str">
        <f>IF(Tableau3384[[#This Row],[Date du paiement]]="",IF(Tableau3384[[#This Row],[jours jusqu''à l''écheance]]&gt;0,Tableau3384[[#This Row],[Montant
CHF]],""),"")</f>
        <v/>
      </c>
      <c r="R487" s="298" t="str">
        <f>IF(Tableau3384[[#This Row],[Date du paiement]]="",IF(Tableau3384[[#This Row],[jours jusqu''à l''écheance]]-($B$4-$B$11-1)&gt;0,Tableau3384[[#This Row],[Montant
CHF]],""),"")</f>
        <v/>
      </c>
      <c r="S487" s="142"/>
      <c r="T487" s="168" t="str">
        <f>IF(Tableau3384[[#This Row],[Paiements prevus]]="oui",Tableau3384[[#This Row],[Montant prevu à payer CH]],"")</f>
        <v/>
      </c>
      <c r="U487" s="177"/>
      <c r="V487" s="192" t="s">
        <v>738</v>
      </c>
      <c r="W487" s="190"/>
      <c r="X487" s="187">
        <v>45523</v>
      </c>
      <c r="Y487" s="181" t="s">
        <v>58</v>
      </c>
      <c r="Z487" s="120" t="str">
        <f>IF(Tableau3384[[#This Row],[Méthode du paiement]]="Mastercard","OUI","")</f>
        <v/>
      </c>
      <c r="AA487" s="180" t="s">
        <v>26</v>
      </c>
      <c r="AB487" s="180" t="s">
        <v>1217</v>
      </c>
    </row>
    <row r="488" spans="1:28" s="184" customFormat="1" hidden="1" x14ac:dyDescent="0.25">
      <c r="A488" s="182" t="s">
        <v>1218</v>
      </c>
      <c r="B488" s="185">
        <v>45491</v>
      </c>
      <c r="C488" s="185">
        <v>45491</v>
      </c>
      <c r="D488" s="186" t="s">
        <v>29</v>
      </c>
      <c r="E488" s="183">
        <v>329.15</v>
      </c>
      <c r="F488" s="195">
        <v>8.1</v>
      </c>
      <c r="G488" s="193"/>
      <c r="H488" s="136">
        <f>Tableau3384[[#This Row],[Montant
CHF]]+Tableau3384[[#This Row],[Abzug/Spesen
CHF]]</f>
        <v>329.15</v>
      </c>
      <c r="I488" s="188"/>
      <c r="J488" s="189"/>
      <c r="K488" s="189"/>
      <c r="L488" s="298"/>
      <c r="M488" s="194"/>
      <c r="N488" s="185">
        <v>45501</v>
      </c>
      <c r="O488" s="282" t="str">
        <f>IF(Tableau3384[[#This Row],[Date du paiement]]&gt;0,"",Tableau3384[[#This Row],[Montant
CHF]])</f>
        <v/>
      </c>
      <c r="P488" s="287" t="str">
        <f>IF(Tableau3384[[#This Row],[Date du paiement]]="",$B$4-Tableau3384[[#This Row],[Écheance]],"")</f>
        <v/>
      </c>
      <c r="Q488" s="168" t="str">
        <f>IF(Tableau3384[[#This Row],[Date du paiement]]="",IF(Tableau3384[[#This Row],[jours jusqu''à l''écheance]]&gt;0,Tableau3384[[#This Row],[Montant
CHF]],""),"")</f>
        <v/>
      </c>
      <c r="R488" s="298" t="str">
        <f>IF(Tableau3384[[#This Row],[Date du paiement]]="",IF(Tableau3384[[#This Row],[jours jusqu''à l''écheance]]-($B$4-$B$11-1)&gt;0,Tableau3384[[#This Row],[Montant
CHF]],""),"")</f>
        <v/>
      </c>
      <c r="S488" s="142"/>
      <c r="T488" s="168" t="str">
        <f>IF(Tableau3384[[#This Row],[Paiements prevus]]="oui",Tableau3384[[#This Row],[Montant prevu à payer CH]],"")</f>
        <v/>
      </c>
      <c r="U488" s="177"/>
      <c r="V488" s="192" t="s">
        <v>735</v>
      </c>
      <c r="W488" s="190"/>
      <c r="X488" s="187">
        <v>45523</v>
      </c>
      <c r="Y488" s="181" t="s">
        <v>58</v>
      </c>
      <c r="Z488" s="120" t="str">
        <f>IF(Tableau3384[[#This Row],[Méthode du paiement]]="Mastercard","OUI","")</f>
        <v/>
      </c>
      <c r="AA488" s="180" t="s">
        <v>30</v>
      </c>
      <c r="AB488" s="180" t="s">
        <v>1219</v>
      </c>
    </row>
    <row r="489" spans="1:28" s="184" customFormat="1" hidden="1" x14ac:dyDescent="0.25">
      <c r="A489" s="182" t="s">
        <v>1224</v>
      </c>
      <c r="B489" s="185">
        <v>45492</v>
      </c>
      <c r="C489" s="185">
        <v>45492</v>
      </c>
      <c r="D489" s="186" t="s">
        <v>1233</v>
      </c>
      <c r="E489" s="183">
        <v>209.65</v>
      </c>
      <c r="F489" s="195">
        <v>8.1</v>
      </c>
      <c r="G489" s="193"/>
      <c r="H489" s="136">
        <f>Tableau3384[[#This Row],[Montant
CHF]]+Tableau3384[[#This Row],[Abzug/Spesen
CHF]]</f>
        <v>209.65</v>
      </c>
      <c r="I489" s="188"/>
      <c r="J489" s="189"/>
      <c r="K489" s="189"/>
      <c r="L489" s="298"/>
      <c r="M489" s="194"/>
      <c r="N489" s="185">
        <v>45523</v>
      </c>
      <c r="O489" s="282" t="str">
        <f>IF(Tableau3384[[#This Row],[Date du paiement]]&gt;0,"",Tableau3384[[#This Row],[Montant
CHF]])</f>
        <v/>
      </c>
      <c r="P489" s="287" t="str">
        <f>IF(Tableau3384[[#This Row],[Date du paiement]]="",$B$4-Tableau3384[[#This Row],[Écheance]],"")</f>
        <v/>
      </c>
      <c r="Q489" s="168" t="str">
        <f>IF(Tableau3384[[#This Row],[Date du paiement]]="",IF(Tableau3384[[#This Row],[jours jusqu''à l''écheance]]&gt;0,Tableau3384[[#This Row],[Montant
CHF]],""),"")</f>
        <v/>
      </c>
      <c r="R489" s="298" t="str">
        <f>IF(Tableau3384[[#This Row],[Date du paiement]]="",IF(Tableau3384[[#This Row],[jours jusqu''à l''écheance]]-($B$4-$B$11-1)&gt;0,Tableau3384[[#This Row],[Montant
CHF]],""),"")</f>
        <v/>
      </c>
      <c r="S489" s="142"/>
      <c r="T489" s="168" t="str">
        <f>IF(Tableau3384[[#This Row],[Paiements prevus]]="oui",Tableau3384[[#This Row],[Montant prevu à payer CH]],"")</f>
        <v/>
      </c>
      <c r="U489" s="177"/>
      <c r="V489" s="192" t="s">
        <v>735</v>
      </c>
      <c r="W489" s="190"/>
      <c r="X489" s="187">
        <v>45523</v>
      </c>
      <c r="Y489" s="181" t="s">
        <v>58</v>
      </c>
      <c r="Z489" s="120" t="str">
        <f>IF(Tableau3384[[#This Row],[Méthode du paiement]]="Mastercard","OUI","")</f>
        <v/>
      </c>
      <c r="AA489" s="180" t="s">
        <v>43</v>
      </c>
      <c r="AB489" s="180" t="s">
        <v>1225</v>
      </c>
    </row>
    <row r="490" spans="1:28" s="184" customFormat="1" hidden="1" x14ac:dyDescent="0.25">
      <c r="A490" s="182" t="s">
        <v>1234</v>
      </c>
      <c r="B490" s="185">
        <v>45492</v>
      </c>
      <c r="C490" s="185">
        <v>45496</v>
      </c>
      <c r="D490" s="186" t="s">
        <v>13</v>
      </c>
      <c r="E490" s="183">
        <f>Tableau3384[[#This Row],[Montant
EUR]]*Tableau3384[[#This Row],[Taux 
de change]]</f>
        <v>17411.868877648001</v>
      </c>
      <c r="F490" s="195">
        <v>0</v>
      </c>
      <c r="G490" s="193"/>
      <c r="H490" s="136">
        <f>Tableau3384[[#This Row],[Montant
CHF]]+Tableau3384[[#This Row],[Abzug/Spesen
CHF]]</f>
        <v>17411.868877648001</v>
      </c>
      <c r="I490" s="188">
        <v>0.94240060000000003</v>
      </c>
      <c r="J490" s="189">
        <v>18476.080000000002</v>
      </c>
      <c r="K490" s="189"/>
      <c r="L490" s="298"/>
      <c r="M490" s="194"/>
      <c r="N490" s="185">
        <v>45554</v>
      </c>
      <c r="O490" s="282" t="str">
        <f>IF(Tableau3384[[#This Row],[Date du paiement]]&gt;0,"",Tableau3384[[#This Row],[Montant
CHF]])</f>
        <v/>
      </c>
      <c r="P490" s="287" t="str">
        <f>IF(Tableau3384[[#This Row],[Date du paiement]]="",$B$4-Tableau3384[[#This Row],[Écheance]],"")</f>
        <v/>
      </c>
      <c r="Q490" s="168" t="str">
        <f>IF(Tableau3384[[#This Row],[Date du paiement]]="",IF(Tableau3384[[#This Row],[jours jusqu''à l''écheance]]&gt;0,Tableau3384[[#This Row],[Montant
CHF]],""),"")</f>
        <v/>
      </c>
      <c r="R490" s="298" t="str">
        <f>IF(Tableau3384[[#This Row],[Date du paiement]]="",IF(Tableau3384[[#This Row],[jours jusqu''à l''écheance]]-($B$4-$B$11-1)&gt;0,Tableau3384[[#This Row],[Montant
CHF]],""),"")</f>
        <v/>
      </c>
      <c r="S490" s="142"/>
      <c r="T490" s="168" t="str">
        <f>IF(Tableau3384[[#This Row],[Paiements prevus]]="oui",Tableau3384[[#This Row],[Montant prevu à payer CH]],"")</f>
        <v/>
      </c>
      <c r="U490" s="177"/>
      <c r="V490" s="192" t="s">
        <v>737</v>
      </c>
      <c r="W490" s="190"/>
      <c r="X490" s="187">
        <v>45554</v>
      </c>
      <c r="Y490" s="181" t="s">
        <v>58</v>
      </c>
      <c r="Z490" s="120" t="str">
        <f>IF(Tableau3384[[#This Row],[Méthode du paiement]]="Mastercard","OUI","")</f>
        <v/>
      </c>
      <c r="AA490" s="180" t="s">
        <v>14</v>
      </c>
      <c r="AB490" s="180" t="s">
        <v>1235</v>
      </c>
    </row>
    <row r="491" spans="1:28" s="184" customFormat="1" hidden="1" x14ac:dyDescent="0.25">
      <c r="A491" s="182" t="s">
        <v>1228</v>
      </c>
      <c r="B491" s="185">
        <v>45493</v>
      </c>
      <c r="C491" s="185">
        <v>45495</v>
      </c>
      <c r="D491" s="186" t="s">
        <v>209</v>
      </c>
      <c r="E491" s="183">
        <v>3087.35</v>
      </c>
      <c r="F491" s="195">
        <v>8.1</v>
      </c>
      <c r="G491" s="193"/>
      <c r="H491" s="136">
        <f>Tableau3384[[#This Row],[Montant
CHF]]+Tableau3384[[#This Row],[Abzug/Spesen
CHF]]</f>
        <v>3087.35</v>
      </c>
      <c r="I491" s="188"/>
      <c r="J491" s="189"/>
      <c r="K491" s="189"/>
      <c r="L491" s="298"/>
      <c r="M491" s="194"/>
      <c r="N491" s="185">
        <v>45493</v>
      </c>
      <c r="O491" s="282" t="str">
        <f>IF(Tableau3384[[#This Row],[Date du paiement]]&gt;0,"",Tableau3384[[#This Row],[Montant
CHF]])</f>
        <v/>
      </c>
      <c r="P491" s="287" t="str">
        <f>IF(Tableau3384[[#This Row],[Date du paiement]]="",$B$4-Tableau3384[[#This Row],[Écheance]],"")</f>
        <v/>
      </c>
      <c r="Q491" s="168" t="str">
        <f>IF(Tableau3384[[#This Row],[Date du paiement]]="",IF(Tableau3384[[#This Row],[jours jusqu''à l''écheance]]&gt;0,Tableau3384[[#This Row],[Montant
CHF]],""),"")</f>
        <v/>
      </c>
      <c r="R491" s="298" t="str">
        <f>IF(Tableau3384[[#This Row],[Date du paiement]]="",IF(Tableau3384[[#This Row],[jours jusqu''à l''écheance]]&gt;0,Tableau3384[[#This Row],[Montant
CHF]],""),"")</f>
        <v/>
      </c>
      <c r="S491" s="142"/>
      <c r="T491" s="168" t="str">
        <f>IF(Tableau3384[[#This Row],[Paiements prevus]]="oui",Tableau3384[[#This Row],[Montant prevu à payer CH]],"")</f>
        <v/>
      </c>
      <c r="U491" s="177"/>
      <c r="V491" s="192" t="s">
        <v>738</v>
      </c>
      <c r="W491" s="190"/>
      <c r="X491" s="187">
        <v>45495</v>
      </c>
      <c r="Y491" s="181" t="s">
        <v>345</v>
      </c>
      <c r="Z491" s="120" t="str">
        <f>IF(Tableau3384[[#This Row],[Méthode du paiement]]="Mastercard","OUI","")</f>
        <v/>
      </c>
      <c r="AA491" s="180" t="s">
        <v>14</v>
      </c>
      <c r="AB491" s="180" t="s">
        <v>1229</v>
      </c>
    </row>
    <row r="492" spans="1:28" s="184" customFormat="1" hidden="1" x14ac:dyDescent="0.25">
      <c r="A492" s="182" t="s">
        <v>1340</v>
      </c>
      <c r="B492" s="185">
        <v>45493</v>
      </c>
      <c r="C492" s="185">
        <v>45517</v>
      </c>
      <c r="D492" s="186" t="s">
        <v>209</v>
      </c>
      <c r="E492" s="183">
        <v>3087.35</v>
      </c>
      <c r="F492" s="195">
        <v>8.1</v>
      </c>
      <c r="G492" s="193"/>
      <c r="H492" s="136">
        <f>Tableau3384[[#This Row],[Montant
CHF]]+Tableau3384[[#This Row],[Abzug/Spesen
CHF]]</f>
        <v>3087.35</v>
      </c>
      <c r="I492" s="188"/>
      <c r="J492" s="189"/>
      <c r="K492" s="189"/>
      <c r="L492" s="298"/>
      <c r="M492" s="194"/>
      <c r="N492" s="185">
        <v>45517</v>
      </c>
      <c r="O492" s="282" t="str">
        <f>IF(Tableau3384[[#This Row],[Date du paiement]]&gt;0,"",Tableau3384[[#This Row],[Montant
CHF]])</f>
        <v/>
      </c>
      <c r="P492" s="287" t="str">
        <f>IF(Tableau3384[[#This Row],[Date du paiement]]="",$B$4-Tableau3384[[#This Row],[Écheance]],"")</f>
        <v/>
      </c>
      <c r="Q492" s="168" t="str">
        <f>IF(Tableau3384[[#This Row],[Date du paiement]]="",IF(Tableau3384[[#This Row],[jours jusqu''à l''écheance]]&gt;0,Tableau3384[[#This Row],[Montant
CHF]],""),"")</f>
        <v/>
      </c>
      <c r="R492" s="298" t="str">
        <f>IF(Tableau3384[[#This Row],[Date du paiement]]="",IF(Tableau3384[[#This Row],[jours jusqu''à l''écheance]]&gt;0,Tableau3384[[#This Row],[Montant
CHF]],""),"")</f>
        <v/>
      </c>
      <c r="S492" s="142"/>
      <c r="T492" s="168" t="str">
        <f>IF(Tableau3384[[#This Row],[Paiements prevus]]="oui",Tableau3384[[#This Row],[Montant prevu à payer CH]],"")</f>
        <v/>
      </c>
      <c r="U492" s="177"/>
      <c r="V492" s="192" t="s">
        <v>738</v>
      </c>
      <c r="W492" s="190"/>
      <c r="X492" s="187">
        <v>45517</v>
      </c>
      <c r="Y492" s="181" t="s">
        <v>345</v>
      </c>
      <c r="Z492" s="120" t="str">
        <f>IF(Tableau3384[[#This Row],[Méthode du paiement]]="Mastercard","OUI","")</f>
        <v/>
      </c>
      <c r="AA492" s="180" t="s">
        <v>14</v>
      </c>
      <c r="AB492" s="180" t="s">
        <v>1229</v>
      </c>
    </row>
    <row r="493" spans="1:28" s="184" customFormat="1" hidden="1" x14ac:dyDescent="0.25">
      <c r="A493" s="182" t="s">
        <v>1476</v>
      </c>
      <c r="B493" s="185">
        <v>45493</v>
      </c>
      <c r="C493" s="185">
        <v>45540</v>
      </c>
      <c r="D493" s="186" t="s">
        <v>209</v>
      </c>
      <c r="E493" s="183">
        <v>3087.35</v>
      </c>
      <c r="F493" s="195">
        <v>8.1</v>
      </c>
      <c r="G493" s="193"/>
      <c r="H493" s="136">
        <f>Tableau3384[[#This Row],[Montant
CHF]]+Tableau3384[[#This Row],[Abzug/Spesen
CHF]]</f>
        <v>3087.35</v>
      </c>
      <c r="I493" s="188"/>
      <c r="J493" s="189"/>
      <c r="K493" s="189"/>
      <c r="L493" s="298"/>
      <c r="M493" s="194"/>
      <c r="N493" s="185">
        <v>45540</v>
      </c>
      <c r="O493" s="282" t="str">
        <f>IF(Tableau3384[[#This Row],[Date du paiement]]&gt;0,"",Tableau3384[[#This Row],[Montant
CHF]])</f>
        <v/>
      </c>
      <c r="P493" s="287" t="str">
        <f>IF(Tableau3384[[#This Row],[Date du paiement]]="",$B$4-Tableau3384[[#This Row],[Écheance]],"")</f>
        <v/>
      </c>
      <c r="Q493" s="168" t="str">
        <f>IF(Tableau3384[[#This Row],[Date du paiement]]="",IF(Tableau3384[[#This Row],[jours jusqu''à l''écheance]]&gt;0,Tableau3384[[#This Row],[Montant
CHF]],""),"")</f>
        <v/>
      </c>
      <c r="R493" s="298" t="str">
        <f>IF(Tableau3384[[#This Row],[Date du paiement]]="",IF(Tableau3384[[#This Row],[jours jusqu''à l''écheance]]&gt;0,Tableau3384[[#This Row],[Montant
CHF]],""),"")</f>
        <v/>
      </c>
      <c r="S493" s="142"/>
      <c r="T493" s="168" t="str">
        <f>IF(Tableau3384[[#This Row],[Paiements prevus]]="oui",Tableau3384[[#This Row],[Montant prevu à payer CH]],"")</f>
        <v/>
      </c>
      <c r="U493" s="177"/>
      <c r="V493" s="192" t="s">
        <v>738</v>
      </c>
      <c r="W493" s="190"/>
      <c r="X493" s="187">
        <v>45540</v>
      </c>
      <c r="Y493" s="181" t="s">
        <v>345</v>
      </c>
      <c r="Z493" s="120" t="str">
        <f>IF(Tableau3384[[#This Row],[Méthode du paiement]]="Mastercard","OUI","")</f>
        <v/>
      </c>
      <c r="AA493" s="180" t="s">
        <v>14</v>
      </c>
      <c r="AB493" s="180" t="s">
        <v>1229</v>
      </c>
    </row>
    <row r="494" spans="1:28" s="184" customFormat="1" hidden="1" x14ac:dyDescent="0.25">
      <c r="A494" s="182" t="s">
        <v>1477</v>
      </c>
      <c r="B494" s="185">
        <v>45493</v>
      </c>
      <c r="C494" s="185">
        <v>45541</v>
      </c>
      <c r="D494" s="186" t="s">
        <v>209</v>
      </c>
      <c r="E494" s="183">
        <v>3087.35</v>
      </c>
      <c r="F494" s="195">
        <v>8.1</v>
      </c>
      <c r="G494" s="193"/>
      <c r="H494" s="136">
        <f>Tableau3384[[#This Row],[Montant
CHF]]+Tableau3384[[#This Row],[Abzug/Spesen
CHF]]</f>
        <v>3087.35</v>
      </c>
      <c r="I494" s="188"/>
      <c r="J494" s="189"/>
      <c r="K494" s="189"/>
      <c r="L494" s="298"/>
      <c r="M494" s="194" t="s">
        <v>1488</v>
      </c>
      <c r="N494" s="185">
        <v>45540</v>
      </c>
      <c r="O494" s="282" t="str">
        <f>IF(Tableau3384[[#This Row],[Date du paiement]]&gt;0,"",Tableau3384[[#This Row],[Montant
CHF]])</f>
        <v/>
      </c>
      <c r="P494" s="287" t="str">
        <f>IF(Tableau3384[[#This Row],[Date du paiement]]="",$B$4-Tableau3384[[#This Row],[Écheance]],"")</f>
        <v/>
      </c>
      <c r="Q494" s="168" t="str">
        <f>IF(Tableau3384[[#This Row],[Date du paiement]]="",IF(Tableau3384[[#This Row],[jours jusqu''à l''écheance]]&gt;0,Tableau3384[[#This Row],[Montant
CHF]],""),"")</f>
        <v/>
      </c>
      <c r="R494" s="298" t="str">
        <f>IF(Tableau3384[[#This Row],[Date du paiement]]="",IF(Tableau3384[[#This Row],[jours jusqu''à l''écheance]]&gt;0,Tableau3384[[#This Row],[Montant
CHF]],""),"")</f>
        <v/>
      </c>
      <c r="S494" s="142"/>
      <c r="T494" s="168" t="str">
        <f>IF(Tableau3384[[#This Row],[Paiements prevus]]="oui",Tableau3384[[#This Row],[Montant prevu à payer CH]],"")</f>
        <v/>
      </c>
      <c r="U494" s="177"/>
      <c r="V494" s="192"/>
      <c r="W494" s="190" t="s">
        <v>772</v>
      </c>
      <c r="X494" s="187">
        <v>45541</v>
      </c>
      <c r="Y494" s="181" t="s">
        <v>345</v>
      </c>
      <c r="Z494" s="120" t="str">
        <f>IF(Tableau3384[[#This Row],[Méthode du paiement]]="Mastercard","OUI","")</f>
        <v/>
      </c>
      <c r="AA494" s="180" t="s">
        <v>14</v>
      </c>
      <c r="AB494" s="180" t="s">
        <v>1229</v>
      </c>
    </row>
    <row r="495" spans="1:28" s="184" customFormat="1" hidden="1" x14ac:dyDescent="0.25">
      <c r="A495" s="182" t="s">
        <v>1230</v>
      </c>
      <c r="B495" s="185">
        <v>45495</v>
      </c>
      <c r="C495" s="185">
        <v>45496</v>
      </c>
      <c r="D495" s="186" t="s">
        <v>1231</v>
      </c>
      <c r="E495" s="183">
        <f>Tableau3384[[#This Row],[Montant
EUR]]*Tableau3384[[#This Row],[Taux 
de change]]</f>
        <v>346.1574</v>
      </c>
      <c r="F495" s="195">
        <v>0</v>
      </c>
      <c r="G495" s="193"/>
      <c r="H495" s="136">
        <f>Tableau3384[[#This Row],[Montant
CHF]]+Tableau3384[[#This Row],[Abzug/Spesen
CHF]]</f>
        <v>346.1574</v>
      </c>
      <c r="I495" s="188">
        <v>1.02</v>
      </c>
      <c r="J495" s="189">
        <v>339.37</v>
      </c>
      <c r="K495" s="189"/>
      <c r="L495" s="298"/>
      <c r="M495" s="194" t="s">
        <v>1366</v>
      </c>
      <c r="N495" s="185">
        <v>45491</v>
      </c>
      <c r="O495" s="282" t="str">
        <f>IF(Tableau3384[[#This Row],[Date du paiement]]&gt;0,"",Tableau3384[[#This Row],[Montant
CHF]])</f>
        <v/>
      </c>
      <c r="P495" s="287" t="str">
        <f>IF(Tableau3384[[#This Row],[Date du paiement]]="",$B$4-Tableau3384[[#This Row],[Écheance]],"")</f>
        <v/>
      </c>
      <c r="Q495" s="168" t="str">
        <f>IF(Tableau3384[[#This Row],[Date du paiement]]="",IF(Tableau3384[[#This Row],[jours jusqu''à l''écheance]]&gt;0,Tableau3384[[#This Row],[Montant
CHF]],""),"")</f>
        <v/>
      </c>
      <c r="R495" s="298" t="str">
        <f>IF(Tableau3384[[#This Row],[Date du paiement]]="",IF(Tableau3384[[#This Row],[jours jusqu''à l''écheance]]&gt;0,Tableau3384[[#This Row],[Montant
CHF]],""),"")</f>
        <v/>
      </c>
      <c r="S495" s="142"/>
      <c r="T495" s="168" t="str">
        <f>IF(Tableau3384[[#This Row],[Paiements prevus]]="oui",Tableau3384[[#This Row],[Montant prevu à payer CH]],"")</f>
        <v/>
      </c>
      <c r="U495" s="177"/>
      <c r="V495" s="192" t="s">
        <v>791</v>
      </c>
      <c r="W495" s="190"/>
      <c r="X495" s="187">
        <v>45491</v>
      </c>
      <c r="Y495" s="181" t="s">
        <v>105</v>
      </c>
      <c r="Z495" s="120" t="str">
        <f>IF(Tableau3384[[#This Row],[Méthode du paiement]]="Mastercard","OUI","")</f>
        <v>OUI</v>
      </c>
      <c r="AA495" s="180" t="s">
        <v>14</v>
      </c>
      <c r="AB495" s="180" t="s">
        <v>1232</v>
      </c>
    </row>
    <row r="496" spans="1:28" s="184" customFormat="1" hidden="1" x14ac:dyDescent="0.25">
      <c r="A496" s="182" t="s">
        <v>1239</v>
      </c>
      <c r="B496" s="185">
        <v>45496</v>
      </c>
      <c r="C496" s="185">
        <v>45497</v>
      </c>
      <c r="D496" s="186" t="s">
        <v>117</v>
      </c>
      <c r="E496" s="183">
        <f>Tableau3384[[#This Row],[Montant
EUR]]*Tableau3384[[#This Row],[Taux 
de change]]</f>
        <v>4234.9184020000002</v>
      </c>
      <c r="F496" s="195">
        <v>0</v>
      </c>
      <c r="G496" s="193"/>
      <c r="H496" s="136">
        <f>Tableau3384[[#This Row],[Montant
CHF]]+Tableau3384[[#This Row],[Abzug/Spesen
CHF]]</f>
        <v>4234.9184020000002</v>
      </c>
      <c r="I496" s="188">
        <v>0.95338100000000003</v>
      </c>
      <c r="J496" s="189">
        <v>4442</v>
      </c>
      <c r="K496" s="189"/>
      <c r="L496" s="298"/>
      <c r="M496" s="194"/>
      <c r="N496" s="185">
        <v>45526</v>
      </c>
      <c r="O496" s="282" t="str">
        <f>IF(Tableau3384[[#This Row],[Date du paiement]]&gt;0,"",Tableau3384[[#This Row],[Montant
CHF]])</f>
        <v/>
      </c>
      <c r="P496" s="287" t="str">
        <f>IF(Tableau3384[[#This Row],[Date du paiement]]="",$B$4-Tableau3384[[#This Row],[Écheance]],"")</f>
        <v/>
      </c>
      <c r="Q496" s="168" t="str">
        <f>IF(Tableau3384[[#This Row],[Date du paiement]]="",IF(Tableau3384[[#This Row],[jours jusqu''à l''écheance]]&gt;0,Tableau3384[[#This Row],[Montant
CHF]],""),"")</f>
        <v/>
      </c>
      <c r="R496" s="298" t="str">
        <f>IF(Tableau3384[[#This Row],[Date du paiement]]="",IF(Tableau3384[[#This Row],[jours jusqu''à l''écheance]]-($B$4-$B$11-1)&gt;0,Tableau3384[[#This Row],[Montant
CHF]],""),"")</f>
        <v/>
      </c>
      <c r="S496" s="142"/>
      <c r="T496" s="168" t="str">
        <f>IF(Tableau3384[[#This Row],[Paiements prevus]]="oui",Tableau3384[[#This Row],[Montant prevu à payer CH]],"")</f>
        <v/>
      </c>
      <c r="U496" s="177"/>
      <c r="V496" s="192" t="s">
        <v>737</v>
      </c>
      <c r="W496" s="190"/>
      <c r="X496" s="187">
        <v>45526</v>
      </c>
      <c r="Y496" s="181" t="s">
        <v>58</v>
      </c>
      <c r="Z496" s="120" t="str">
        <f>IF(Tableau3384[[#This Row],[Méthode du paiement]]="Mastercard","OUI","")</f>
        <v/>
      </c>
      <c r="AA496" s="180" t="s">
        <v>14</v>
      </c>
      <c r="AB496" s="180" t="s">
        <v>1241</v>
      </c>
    </row>
    <row r="497" spans="1:28" s="184" customFormat="1" hidden="1" x14ac:dyDescent="0.25">
      <c r="A497" s="182" t="s">
        <v>1240</v>
      </c>
      <c r="B497" s="185">
        <v>45496</v>
      </c>
      <c r="C497" s="185">
        <v>45497</v>
      </c>
      <c r="D497" s="186" t="s">
        <v>117</v>
      </c>
      <c r="E497" s="183">
        <f>Tableau3384[[#This Row],[Montant
EUR]]*Tableau3384[[#This Row],[Taux 
de change]]</f>
        <v>934.28300000000002</v>
      </c>
      <c r="F497" s="195">
        <v>0</v>
      </c>
      <c r="G497" s="193"/>
      <c r="H497" s="136">
        <f>Tableau3384[[#This Row],[Montant
CHF]]+Tableau3384[[#This Row],[Abzug/Spesen
CHF]]</f>
        <v>934.28300000000002</v>
      </c>
      <c r="I497" s="188">
        <v>0.95335000000000003</v>
      </c>
      <c r="J497" s="189">
        <v>980</v>
      </c>
      <c r="K497" s="189"/>
      <c r="L497" s="298"/>
      <c r="M497" s="194"/>
      <c r="N497" s="185">
        <v>45526</v>
      </c>
      <c r="O497" s="282" t="str">
        <f>IF(Tableau3384[[#This Row],[Date du paiement]]&gt;0,"",Tableau3384[[#This Row],[Montant
CHF]])</f>
        <v/>
      </c>
      <c r="P497" s="287" t="str">
        <f>IF(Tableau3384[[#This Row],[Date du paiement]]="",$B$4-Tableau3384[[#This Row],[Écheance]],"")</f>
        <v/>
      </c>
      <c r="Q497" s="168" t="str">
        <f>IF(Tableau3384[[#This Row],[Date du paiement]]="",IF(Tableau3384[[#This Row],[jours jusqu''à l''écheance]]&gt;0,Tableau3384[[#This Row],[Montant
CHF]],""),"")</f>
        <v/>
      </c>
      <c r="R497" s="298" t="str">
        <f>IF(Tableau3384[[#This Row],[Date du paiement]]="",IF(Tableau3384[[#This Row],[jours jusqu''à l''écheance]]-($B$4-$B$11-1)&gt;0,Tableau3384[[#This Row],[Montant
CHF]],""),"")</f>
        <v/>
      </c>
      <c r="S497" s="142"/>
      <c r="T497" s="168" t="str">
        <f>IF(Tableau3384[[#This Row],[Paiements prevus]]="oui",Tableau3384[[#This Row],[Montant prevu à payer CH]],"")</f>
        <v/>
      </c>
      <c r="U497" s="177"/>
      <c r="V497" s="192" t="s">
        <v>737</v>
      </c>
      <c r="W497" s="190"/>
      <c r="X497" s="187">
        <v>45526</v>
      </c>
      <c r="Y497" s="181" t="s">
        <v>58</v>
      </c>
      <c r="Z497" s="120" t="str">
        <f>IF(Tableau3384[[#This Row],[Méthode du paiement]]="Mastercard","OUI","")</f>
        <v/>
      </c>
      <c r="AA497" s="180" t="s">
        <v>11</v>
      </c>
      <c r="AB497" s="180" t="s">
        <v>1241</v>
      </c>
    </row>
    <row r="498" spans="1:28" s="184" customFormat="1" hidden="1" x14ac:dyDescent="0.25">
      <c r="A498" s="182" t="s">
        <v>1245</v>
      </c>
      <c r="B498" s="185">
        <v>45496</v>
      </c>
      <c r="C498" s="185">
        <v>45498</v>
      </c>
      <c r="D498" s="186" t="s">
        <v>1246</v>
      </c>
      <c r="E498" s="183">
        <v>86.5</v>
      </c>
      <c r="F498" s="195">
        <v>8.1</v>
      </c>
      <c r="G498" s="193"/>
      <c r="H498" s="136">
        <f>Tableau3384[[#This Row],[Montant
CHF]]+Tableau3384[[#This Row],[Abzug/Spesen
CHF]]</f>
        <v>86.5</v>
      </c>
      <c r="I498" s="188"/>
      <c r="J498" s="189"/>
      <c r="K498" s="189"/>
      <c r="L498" s="298"/>
      <c r="M498" s="194"/>
      <c r="N498" s="185">
        <v>45527</v>
      </c>
      <c r="O498" s="282" t="str">
        <f>IF(Tableau3384[[#This Row],[Date du paiement]]&gt;0,"",Tableau3384[[#This Row],[Montant
CHF]])</f>
        <v/>
      </c>
      <c r="P498" s="287" t="str">
        <f>IF(Tableau3384[[#This Row],[Date du paiement]]="",$B$4-Tableau3384[[#This Row],[Écheance]],"")</f>
        <v/>
      </c>
      <c r="Q498" s="168" t="str">
        <f>IF(Tableau3384[[#This Row],[Date du paiement]]="",IF(Tableau3384[[#This Row],[jours jusqu''à l''écheance]]&gt;0,Tableau3384[[#This Row],[Montant
CHF]],""),"")</f>
        <v/>
      </c>
      <c r="R498" s="298" t="str">
        <f>IF(Tableau3384[[#This Row],[Date du paiement]]="",IF(Tableau3384[[#This Row],[jours jusqu''à l''écheance]]-($B$4-$B$11-1)&gt;0,Tableau3384[[#This Row],[Montant
CHF]],""),"")</f>
        <v/>
      </c>
      <c r="S498" s="142"/>
      <c r="T498" s="168" t="str">
        <f>IF(Tableau3384[[#This Row],[Paiements prevus]]="oui",Tableau3384[[#This Row],[Montant prevu à payer CH]],"")</f>
        <v/>
      </c>
      <c r="U498" s="177"/>
      <c r="V498" s="192" t="s">
        <v>735</v>
      </c>
      <c r="W498" s="190"/>
      <c r="X498" s="187">
        <v>45527</v>
      </c>
      <c r="Y498" s="181" t="s">
        <v>58</v>
      </c>
      <c r="Z498" s="120" t="str">
        <f>IF(Tableau3384[[#This Row],[Méthode du paiement]]="Mastercard","OUI","")</f>
        <v/>
      </c>
      <c r="AA498" s="180" t="s">
        <v>43</v>
      </c>
      <c r="AB498" s="180" t="s">
        <v>1247</v>
      </c>
    </row>
    <row r="499" spans="1:28" s="184" customFormat="1" hidden="1" x14ac:dyDescent="0.25">
      <c r="A499" s="182" t="s">
        <v>1244</v>
      </c>
      <c r="B499" s="185">
        <v>45497</v>
      </c>
      <c r="C499" s="185">
        <v>45497</v>
      </c>
      <c r="D499" s="186" t="s">
        <v>216</v>
      </c>
      <c r="E499" s="183">
        <v>2645.45</v>
      </c>
      <c r="F499" s="195">
        <v>100</v>
      </c>
      <c r="G499" s="193"/>
      <c r="H499" s="136">
        <f>Tableau3384[[#This Row],[Montant
CHF]]+Tableau3384[[#This Row],[Abzug/Spesen
CHF]]</f>
        <v>2645.45</v>
      </c>
      <c r="I499" s="188"/>
      <c r="J499" s="189"/>
      <c r="K499" s="189"/>
      <c r="L499" s="298"/>
      <c r="M499" s="194"/>
      <c r="N499" s="185">
        <v>45558</v>
      </c>
      <c r="O499" s="282" t="str">
        <f>IF(Tableau3384[[#This Row],[Date du paiement]]&gt;0,"",Tableau3384[[#This Row],[Montant
CHF]])</f>
        <v/>
      </c>
      <c r="P499" s="287" t="str">
        <f>IF(Tableau3384[[#This Row],[Date du paiement]]="",$B$4-Tableau3384[[#This Row],[Écheance]],"")</f>
        <v/>
      </c>
      <c r="Q499" s="168" t="str">
        <f>IF(Tableau3384[[#This Row],[Date du paiement]]="",IF(Tableau3384[[#This Row],[jours jusqu''à l''écheance]]&gt;0,Tableau3384[[#This Row],[Montant
CHF]],""),"")</f>
        <v/>
      </c>
      <c r="R499" s="298" t="str">
        <f>IF(Tableau3384[[#This Row],[Date du paiement]]="",IF(Tableau3384[[#This Row],[jours jusqu''à l''écheance]]-($B$4-$B$11-1)&gt;0,Tableau3384[[#This Row],[Montant
CHF]],""),"")</f>
        <v/>
      </c>
      <c r="S499" s="142"/>
      <c r="T499" s="168" t="str">
        <f>IF(Tableau3384[[#This Row],[Paiements prevus]]="oui",Tableau3384[[#This Row],[Montant prevu à payer CH]],"")</f>
        <v/>
      </c>
      <c r="U499" s="177"/>
      <c r="V499" s="192" t="s">
        <v>736</v>
      </c>
      <c r="W499" s="190"/>
      <c r="X499" s="187">
        <v>45558</v>
      </c>
      <c r="Y499" s="181" t="s">
        <v>58</v>
      </c>
      <c r="Z499" s="120" t="str">
        <f>IF(Tableau3384[[#This Row],[Méthode du paiement]]="Mastercard","OUI","")</f>
        <v/>
      </c>
      <c r="AA499" s="180" t="s">
        <v>604</v>
      </c>
      <c r="AB499" s="180" t="s">
        <v>1217</v>
      </c>
    </row>
    <row r="500" spans="1:28" s="184" customFormat="1" hidden="1" x14ac:dyDescent="0.25">
      <c r="A500" s="182" t="s">
        <v>1242</v>
      </c>
      <c r="B500" s="185">
        <v>45497</v>
      </c>
      <c r="C500" s="185">
        <v>45497</v>
      </c>
      <c r="D500" s="186" t="s">
        <v>196</v>
      </c>
      <c r="E500" s="183">
        <v>307.2</v>
      </c>
      <c r="F500" s="195">
        <v>8.1</v>
      </c>
      <c r="G500" s="193"/>
      <c r="H500" s="136">
        <f>Tableau3384[[#This Row],[Montant
CHF]]+Tableau3384[[#This Row],[Abzug/Spesen
CHF]]</f>
        <v>307.2</v>
      </c>
      <c r="I500" s="188"/>
      <c r="J500" s="189"/>
      <c r="K500" s="189"/>
      <c r="L500" s="298"/>
      <c r="M500" s="194"/>
      <c r="N500" s="185">
        <v>45507</v>
      </c>
      <c r="O500" s="282" t="str">
        <f>IF(Tableau3384[[#This Row],[Date du paiement]]&gt;0,"",Tableau3384[[#This Row],[Montant
CHF]])</f>
        <v/>
      </c>
      <c r="P500" s="287" t="str">
        <f>IF(Tableau3384[[#This Row],[Date du paiement]]="",$B$4-Tableau3384[[#This Row],[Écheance]],"")</f>
        <v/>
      </c>
      <c r="Q500" s="168" t="str">
        <f>IF(Tableau3384[[#This Row],[Date du paiement]]="",IF(Tableau3384[[#This Row],[jours jusqu''à l''écheance]]&gt;0,Tableau3384[[#This Row],[Montant
CHF]],""),"")</f>
        <v/>
      </c>
      <c r="R500" s="298" t="str">
        <f>IF(Tableau3384[[#This Row],[Date du paiement]]="",IF(Tableau3384[[#This Row],[jours jusqu''à l''écheance]]-($B$4-$B$11-1)&gt;0,Tableau3384[[#This Row],[Montant
CHF]],""),"")</f>
        <v/>
      </c>
      <c r="S500" s="142"/>
      <c r="T500" s="168" t="str">
        <f>IF(Tableau3384[[#This Row],[Paiements prevus]]="oui",Tableau3384[[#This Row],[Montant prevu à payer CH]],"")</f>
        <v/>
      </c>
      <c r="U500" s="177"/>
      <c r="V500" s="192" t="s">
        <v>735</v>
      </c>
      <c r="W500" s="190"/>
      <c r="X500" s="187">
        <v>45530</v>
      </c>
      <c r="Y500" s="181" t="s">
        <v>58</v>
      </c>
      <c r="Z500" s="120" t="str">
        <f>IF(Tableau3384[[#This Row],[Méthode du paiement]]="Mastercard","OUI","")</f>
        <v/>
      </c>
      <c r="AA500" s="180" t="s">
        <v>4</v>
      </c>
      <c r="AB500" s="180" t="s">
        <v>1243</v>
      </c>
    </row>
    <row r="501" spans="1:28" s="184" customFormat="1" hidden="1" x14ac:dyDescent="0.25">
      <c r="A501" s="182" t="s">
        <v>1249</v>
      </c>
      <c r="B501" s="185">
        <v>45497</v>
      </c>
      <c r="C501" s="185">
        <v>45497</v>
      </c>
      <c r="D501" s="186" t="s">
        <v>25</v>
      </c>
      <c r="E501" s="183">
        <v>40</v>
      </c>
      <c r="F501" s="195">
        <v>0</v>
      </c>
      <c r="G501" s="193"/>
      <c r="H501" s="136">
        <f>Tableau3384[[#This Row],[Montant
CHF]]+Tableau3384[[#This Row],[Abzug/Spesen
CHF]]</f>
        <v>40</v>
      </c>
      <c r="I501" s="188"/>
      <c r="J501" s="189"/>
      <c r="K501" s="189"/>
      <c r="L501" s="298"/>
      <c r="M501" s="194"/>
      <c r="N501" s="185">
        <v>45518</v>
      </c>
      <c r="O501" s="282" t="str">
        <f>IF(Tableau3384[[#This Row],[Date du paiement]]&gt;0,"",Tableau3384[[#This Row],[Montant
CHF]])</f>
        <v/>
      </c>
      <c r="P501" s="287" t="str">
        <f>IF(Tableau3384[[#This Row],[Date du paiement]]="",$B$4-Tableau3384[[#This Row],[Écheance]],"")</f>
        <v/>
      </c>
      <c r="Q501" s="168" t="str">
        <f>IF(Tableau3384[[#This Row],[Date du paiement]]="",IF(Tableau3384[[#This Row],[jours jusqu''à l''écheance]]&gt;0,Tableau3384[[#This Row],[Montant
CHF]],""),"")</f>
        <v/>
      </c>
      <c r="R501" s="298" t="str">
        <f>IF(Tableau3384[[#This Row],[Date du paiement]]="",IF(Tableau3384[[#This Row],[jours jusqu''à l''écheance]]-($B$4-$B$11-1)&gt;0,Tableau3384[[#This Row],[Montant
CHF]],""),"")</f>
        <v/>
      </c>
      <c r="S501" s="142"/>
      <c r="T501" s="168" t="str">
        <f>IF(Tableau3384[[#This Row],[Paiements prevus]]="oui",Tableau3384[[#This Row],[Montant prevu à payer CH]],"")</f>
        <v/>
      </c>
      <c r="U501" s="177"/>
      <c r="V501" s="192" t="s">
        <v>738</v>
      </c>
      <c r="W501" s="190"/>
      <c r="X501" s="187">
        <v>45530</v>
      </c>
      <c r="Y501" s="181" t="s">
        <v>58</v>
      </c>
      <c r="Z501" s="120" t="str">
        <f>IF(Tableau3384[[#This Row],[Méthode du paiement]]="Mastercard","OUI","")</f>
        <v/>
      </c>
      <c r="AA501" s="180" t="s">
        <v>26</v>
      </c>
      <c r="AB501" s="180" t="s">
        <v>1250</v>
      </c>
    </row>
    <row r="502" spans="1:28" s="184" customFormat="1" hidden="1" x14ac:dyDescent="0.25">
      <c r="A502" s="182" t="s">
        <v>1253</v>
      </c>
      <c r="B502" s="185">
        <v>45497</v>
      </c>
      <c r="C502" s="185">
        <v>45498</v>
      </c>
      <c r="D502" s="186" t="s">
        <v>35</v>
      </c>
      <c r="E502" s="183">
        <v>1179.9000000000001</v>
      </c>
      <c r="F502" s="195">
        <v>0</v>
      </c>
      <c r="G502" s="193"/>
      <c r="H502" s="136">
        <f>Tableau3384[[#This Row],[Montant
CHF]]+Tableau3384[[#This Row],[Abzug/Spesen
CHF]]</f>
        <v>1179.9000000000001</v>
      </c>
      <c r="I502" s="188"/>
      <c r="J502" s="189"/>
      <c r="K502" s="189"/>
      <c r="L502" s="298"/>
      <c r="M502" s="194" t="s">
        <v>1254</v>
      </c>
      <c r="N502" s="185">
        <v>45527</v>
      </c>
      <c r="O502" s="282" t="str">
        <f>IF(Tableau3384[[#This Row],[Date du paiement]]&gt;0,"",Tableau3384[[#This Row],[Montant
CHF]])</f>
        <v/>
      </c>
      <c r="P502" s="287" t="str">
        <f>IF(Tableau3384[[#This Row],[Date du paiement]]="",$B$4-Tableau3384[[#This Row],[Écheance]],"")</f>
        <v/>
      </c>
      <c r="Q502" s="168" t="str">
        <f>IF(Tableau3384[[#This Row],[Date du paiement]]="",IF(Tableau3384[[#This Row],[jours jusqu''à l''écheance]]&gt;0,Tableau3384[[#This Row],[Montant
CHF]],""),"")</f>
        <v/>
      </c>
      <c r="R502" s="298" t="str">
        <f>IF(Tableau3384[[#This Row],[Date du paiement]]="",IF(Tableau3384[[#This Row],[jours jusqu''à l''écheance]]-($B$4-$B$11-1)&gt;0,Tableau3384[[#This Row],[Montant
CHF]],""),"")</f>
        <v/>
      </c>
      <c r="S502" s="142"/>
      <c r="T502" s="168" t="str">
        <f>IF(Tableau3384[[#This Row],[Paiements prevus]]="oui",Tableau3384[[#This Row],[Montant prevu à payer CH]],"")</f>
        <v/>
      </c>
      <c r="U502" s="177"/>
      <c r="V502" s="192" t="s">
        <v>789</v>
      </c>
      <c r="W502" s="190"/>
      <c r="X502" s="187">
        <v>45527</v>
      </c>
      <c r="Y502" s="181" t="s">
        <v>58</v>
      </c>
      <c r="Z502" s="120" t="str">
        <f>IF(Tableau3384[[#This Row],[Méthode du paiement]]="Mastercard","OUI","")</f>
        <v/>
      </c>
      <c r="AA502" s="180" t="s">
        <v>4</v>
      </c>
      <c r="AB502" s="180" t="s">
        <v>1257</v>
      </c>
    </row>
    <row r="503" spans="1:28" s="184" customFormat="1" hidden="1" x14ac:dyDescent="0.25">
      <c r="A503" s="182" t="s">
        <v>1258</v>
      </c>
      <c r="B503" s="185">
        <v>45498</v>
      </c>
      <c r="C503" s="185">
        <v>45498</v>
      </c>
      <c r="D503" s="186" t="s">
        <v>74</v>
      </c>
      <c r="E503" s="183">
        <v>3132.95</v>
      </c>
      <c r="F503" s="195">
        <v>8.1</v>
      </c>
      <c r="G503" s="193"/>
      <c r="H503" s="136">
        <f>Tableau3384[[#This Row],[Montant
CHF]]+Tableau3384[[#This Row],[Abzug/Spesen
CHF]]</f>
        <v>3132.95</v>
      </c>
      <c r="I503" s="188"/>
      <c r="J503" s="189"/>
      <c r="K503" s="189"/>
      <c r="L503" s="298"/>
      <c r="M503" s="194"/>
      <c r="N503" s="185">
        <v>45527</v>
      </c>
      <c r="O503" s="282" t="str">
        <f>IF(Tableau3384[[#This Row],[Date du paiement]]&gt;0,"",Tableau3384[[#This Row],[Montant
CHF]])</f>
        <v/>
      </c>
      <c r="P503" s="287" t="str">
        <f>IF(Tableau3384[[#This Row],[Date du paiement]]="",$B$4-Tableau3384[[#This Row],[Écheance]],"")</f>
        <v/>
      </c>
      <c r="Q503" s="168" t="str">
        <f>IF(Tableau3384[[#This Row],[Date du paiement]]="",IF(Tableau3384[[#This Row],[jours jusqu''à l''écheance]]&gt;0,Tableau3384[[#This Row],[Montant
CHF]],""),"")</f>
        <v/>
      </c>
      <c r="R503" s="298" t="str">
        <f>IF(Tableau3384[[#This Row],[Date du paiement]]="",IF(Tableau3384[[#This Row],[jours jusqu''à l''écheance]]-($B$4-$B$11-1)&gt;0,Tableau3384[[#This Row],[Montant
CHF]],""),"")</f>
        <v/>
      </c>
      <c r="S503" s="142"/>
      <c r="T503" s="168" t="str">
        <f>IF(Tableau3384[[#This Row],[Paiements prevus]]="oui",Tableau3384[[#This Row],[Montant prevu à payer CH]],"")</f>
        <v/>
      </c>
      <c r="U503" s="177"/>
      <c r="V503" s="192" t="s">
        <v>738</v>
      </c>
      <c r="W503" s="190"/>
      <c r="X503" s="187">
        <v>45530</v>
      </c>
      <c r="Y503" s="181" t="s">
        <v>58</v>
      </c>
      <c r="Z503" s="120" t="str">
        <f>IF(Tableau3384[[#This Row],[Méthode du paiement]]="Mastercard","OUI","")</f>
        <v/>
      </c>
      <c r="AA503" s="180" t="s">
        <v>14</v>
      </c>
      <c r="AB503" s="180" t="s">
        <v>1259</v>
      </c>
    </row>
    <row r="504" spans="1:28" s="184" customFormat="1" hidden="1" x14ac:dyDescent="0.25">
      <c r="A504" s="182" t="s">
        <v>1335</v>
      </c>
      <c r="B504" s="185">
        <v>45498</v>
      </c>
      <c r="C504" s="185">
        <v>45518</v>
      </c>
      <c r="D504" s="186" t="s">
        <v>104</v>
      </c>
      <c r="E504" s="183">
        <v>1594.73</v>
      </c>
      <c r="F504" s="195">
        <v>8.1</v>
      </c>
      <c r="G504" s="193"/>
      <c r="H504" s="136">
        <f>Tableau3384[[#This Row],[Montant
CHF]]+Tableau3384[[#This Row],[Abzug/Spesen
CHF]]</f>
        <v>1594.73</v>
      </c>
      <c r="I504" s="188"/>
      <c r="J504" s="189"/>
      <c r="K504" s="189"/>
      <c r="L504" s="298"/>
      <c r="M504" s="194" t="s">
        <v>1336</v>
      </c>
      <c r="N504" s="185">
        <v>45498</v>
      </c>
      <c r="O504" s="282" t="str">
        <f>IF(Tableau3384[[#This Row],[Date du paiement]]&gt;0,"",Tableau3384[[#This Row],[Montant
CHF]])</f>
        <v/>
      </c>
      <c r="P504" s="287" t="str">
        <f>IF(Tableau3384[[#This Row],[Date du paiement]]="",$B$4-Tableau3384[[#This Row],[Écheance]],"")</f>
        <v/>
      </c>
      <c r="Q504" s="168" t="str">
        <f>IF(Tableau3384[[#This Row],[Date du paiement]]="",IF(Tableau3384[[#This Row],[jours jusqu''à l''écheance]]&gt;0,Tableau3384[[#This Row],[Montant
CHF]],""),"")</f>
        <v/>
      </c>
      <c r="R504" s="298" t="str">
        <f>IF(Tableau3384[[#This Row],[Date du paiement]]="",IF(Tableau3384[[#This Row],[jours jusqu''à l''écheance]]&gt;0,Tableau3384[[#This Row],[Montant
CHF]],""),"")</f>
        <v/>
      </c>
      <c r="S504" s="142"/>
      <c r="T504" s="168" t="str">
        <f>IF(Tableau3384[[#This Row],[Paiements prevus]]="oui",Tableau3384[[#This Row],[Montant prevu à payer CH]],"")</f>
        <v/>
      </c>
      <c r="U504" s="177"/>
      <c r="V504" s="192" t="s">
        <v>799</v>
      </c>
      <c r="W504" s="190"/>
      <c r="X504" s="187">
        <v>45498</v>
      </c>
      <c r="Y504" s="181" t="s">
        <v>105</v>
      </c>
      <c r="Z504" s="120" t="str">
        <f>IF(Tableau3384[[#This Row],[Méthode du paiement]]="Mastercard","OUI","")</f>
        <v>OUI</v>
      </c>
      <c r="AA504" s="180" t="s">
        <v>14</v>
      </c>
      <c r="AB504" s="180" t="s">
        <v>1337</v>
      </c>
    </row>
    <row r="505" spans="1:28" s="184" customFormat="1" hidden="1" x14ac:dyDescent="0.25">
      <c r="A505" s="182" t="s">
        <v>1320</v>
      </c>
      <c r="B505" s="185">
        <v>45502</v>
      </c>
      <c r="C505" s="185">
        <v>45509</v>
      </c>
      <c r="D505" s="186" t="s">
        <v>216</v>
      </c>
      <c r="E505" s="183">
        <v>263.64999999999998</v>
      </c>
      <c r="F505" s="195">
        <v>100</v>
      </c>
      <c r="G505" s="193"/>
      <c r="H505" s="136">
        <f>Tableau3384[[#This Row],[Montant
CHF]]+Tableau3384[[#This Row],[Abzug/Spesen
CHF]]</f>
        <v>263.64999999999998</v>
      </c>
      <c r="I505" s="188"/>
      <c r="J505" s="189"/>
      <c r="K505" s="189"/>
      <c r="L505" s="298"/>
      <c r="M505" s="194"/>
      <c r="N505" s="185">
        <v>45562</v>
      </c>
      <c r="O505" s="282" t="str">
        <f>IF(Tableau3384[[#This Row],[Date du paiement]]&gt;0,"",Tableau3384[[#This Row],[Montant
CHF]])</f>
        <v/>
      </c>
      <c r="P505" s="287" t="str">
        <f>IF(Tableau3384[[#This Row],[Date du paiement]]="",$B$4-Tableau3384[[#This Row],[Écheance]],"")</f>
        <v/>
      </c>
      <c r="Q505" s="168" t="str">
        <f>IF(Tableau3384[[#This Row],[Date du paiement]]="",IF(Tableau3384[[#This Row],[jours jusqu''à l''écheance]]&gt;0,Tableau3384[[#This Row],[Montant
CHF]],""),"")</f>
        <v/>
      </c>
      <c r="R505" s="298" t="str">
        <f>IF(Tableau3384[[#This Row],[Date du paiement]]="",IF(Tableau3384[[#This Row],[jours jusqu''à l''écheance]]-($B$4-$B$11-1)&gt;0,Tableau3384[[#This Row],[Montant
CHF]],""),"")</f>
        <v/>
      </c>
      <c r="S505" s="142"/>
      <c r="T505" s="168" t="str">
        <f>IF(Tableau3384[[#This Row],[Paiements prevus]]="oui",Tableau3384[[#This Row],[Montant prevu à payer CH]],"")</f>
        <v/>
      </c>
      <c r="U505" s="177"/>
      <c r="V505" s="192" t="s">
        <v>736</v>
      </c>
      <c r="W505" s="190"/>
      <c r="X505" s="187">
        <v>45562</v>
      </c>
      <c r="Y505" s="181" t="s">
        <v>58</v>
      </c>
      <c r="Z505" s="120" t="str">
        <f>IF(Tableau3384[[#This Row],[Méthode du paiement]]="Mastercard","OUI","")</f>
        <v/>
      </c>
      <c r="AA505" s="180" t="s">
        <v>604</v>
      </c>
      <c r="AB505" s="180" t="s">
        <v>1250</v>
      </c>
    </row>
    <row r="506" spans="1:28" s="184" customFormat="1" hidden="1" x14ac:dyDescent="0.25">
      <c r="A506" s="182" t="s">
        <v>1268</v>
      </c>
      <c r="B506" s="185">
        <v>45503</v>
      </c>
      <c r="C506" s="185">
        <v>45503</v>
      </c>
      <c r="D506" s="186" t="s">
        <v>25</v>
      </c>
      <c r="E506" s="183">
        <v>40</v>
      </c>
      <c r="F506" s="195">
        <v>0</v>
      </c>
      <c r="G506" s="193"/>
      <c r="H506" s="136">
        <f>Tableau3384[[#This Row],[Montant
CHF]]+Tableau3384[[#This Row],[Abzug/Spesen
CHF]]</f>
        <v>40</v>
      </c>
      <c r="I506" s="188"/>
      <c r="J506" s="189"/>
      <c r="K506" s="189"/>
      <c r="L506" s="298"/>
      <c r="M506" s="194"/>
      <c r="N506" s="185">
        <v>45523</v>
      </c>
      <c r="O506" s="282" t="str">
        <f>IF(Tableau3384[[#This Row],[Date du paiement]]&gt;0,"",Tableau3384[[#This Row],[Montant
CHF]])</f>
        <v/>
      </c>
      <c r="P506" s="287" t="str">
        <f>IF(Tableau3384[[#This Row],[Date du paiement]]="",$B$4-Tableau3384[[#This Row],[Écheance]],"")</f>
        <v/>
      </c>
      <c r="Q506" s="168" t="str">
        <f>IF(Tableau3384[[#This Row],[Date du paiement]]="",IF(Tableau3384[[#This Row],[jours jusqu''à l''écheance]]&gt;0,Tableau3384[[#This Row],[Montant
CHF]],""),"")</f>
        <v/>
      </c>
      <c r="R506" s="298" t="str">
        <f>IF(Tableau3384[[#This Row],[Date du paiement]]="",IF(Tableau3384[[#This Row],[jours jusqu''à l''écheance]]-($B$4-$B$11-1)&gt;0,Tableau3384[[#This Row],[Montant
CHF]],""),"")</f>
        <v/>
      </c>
      <c r="S506" s="142"/>
      <c r="T506" s="168" t="str">
        <f>IF(Tableau3384[[#This Row],[Paiements prevus]]="oui",Tableau3384[[#This Row],[Montant prevu à payer CH]],"")</f>
        <v/>
      </c>
      <c r="U506" s="177"/>
      <c r="V506" s="192" t="s">
        <v>738</v>
      </c>
      <c r="W506" s="190"/>
      <c r="X506" s="187">
        <v>45534</v>
      </c>
      <c r="Y506" s="181" t="s">
        <v>58</v>
      </c>
      <c r="Z506" s="120" t="str">
        <f>IF(Tableau3384[[#This Row],[Méthode du paiement]]="Mastercard","OUI","")</f>
        <v/>
      </c>
      <c r="AA506" s="180" t="s">
        <v>26</v>
      </c>
      <c r="AB506" s="180" t="s">
        <v>1269</v>
      </c>
    </row>
    <row r="507" spans="1:28" s="184" customFormat="1" hidden="1" x14ac:dyDescent="0.25">
      <c r="A507" s="182" t="s">
        <v>31</v>
      </c>
      <c r="B507" s="185">
        <v>45503</v>
      </c>
      <c r="C507" s="185">
        <v>45509</v>
      </c>
      <c r="D507" s="186" t="s">
        <v>186</v>
      </c>
      <c r="E507" s="183">
        <v>132.25</v>
      </c>
      <c r="F507" s="195">
        <v>0</v>
      </c>
      <c r="G507" s="193"/>
      <c r="H507" s="136">
        <f>Tableau3384[[#This Row],[Montant
CHF]]+Tableau3384[[#This Row],[Abzug/Spesen
CHF]]</f>
        <v>132.25</v>
      </c>
      <c r="I507" s="188"/>
      <c r="J507" s="189"/>
      <c r="K507" s="189"/>
      <c r="L507" s="298"/>
      <c r="M507" s="194" t="s">
        <v>1273</v>
      </c>
      <c r="N507" s="185">
        <v>45534</v>
      </c>
      <c r="O507" s="282" t="str">
        <f>IF(Tableau3384[[#This Row],[Date du paiement]]&gt;0,"",Tableau3384[[#This Row],[Montant
CHF]])</f>
        <v/>
      </c>
      <c r="P507" s="287" t="str">
        <f>IF(Tableau3384[[#This Row],[Date du paiement]]="",$B$4-Tableau3384[[#This Row],[Écheance]],"")</f>
        <v/>
      </c>
      <c r="Q507" s="168" t="str">
        <f>IF(Tableau3384[[#This Row],[Date du paiement]]="",IF(Tableau3384[[#This Row],[jours jusqu''à l''écheance]]&gt;0,Tableau3384[[#This Row],[Montant
CHF]],""),"")</f>
        <v/>
      </c>
      <c r="R507" s="298" t="str">
        <f>IF(Tableau3384[[#This Row],[Date du paiement]]="",IF(Tableau3384[[#This Row],[jours jusqu''à l''écheance]]-($B$4-$B$11-1)&gt;0,Tableau3384[[#This Row],[Montant
CHF]],""),"")</f>
        <v/>
      </c>
      <c r="S507" s="142"/>
      <c r="T507" s="168" t="str">
        <f>IF(Tableau3384[[#This Row],[Paiements prevus]]="oui",Tableau3384[[#This Row],[Montant prevu à payer CH]],"")</f>
        <v/>
      </c>
      <c r="U507" s="177"/>
      <c r="V507" s="192" t="s">
        <v>735</v>
      </c>
      <c r="W507" s="190"/>
      <c r="X507" s="187">
        <v>45534</v>
      </c>
      <c r="Y507" s="181" t="s">
        <v>58</v>
      </c>
      <c r="Z507" s="120" t="str">
        <f>IF(Tableau3384[[#This Row],[Méthode du paiement]]="Mastercard","OUI","")</f>
        <v/>
      </c>
      <c r="AA507" s="451" t="s">
        <v>604</v>
      </c>
      <c r="AB507" s="180" t="s">
        <v>1274</v>
      </c>
    </row>
    <row r="508" spans="1:28" s="184" customFormat="1" hidden="1" x14ac:dyDescent="0.25">
      <c r="A508" s="182" t="s">
        <v>1270</v>
      </c>
      <c r="B508" s="185">
        <v>45504</v>
      </c>
      <c r="C508" s="185">
        <v>45504</v>
      </c>
      <c r="D508" s="186" t="s">
        <v>196</v>
      </c>
      <c r="E508" s="183">
        <v>530.70000000000005</v>
      </c>
      <c r="F508" s="195">
        <v>8.1</v>
      </c>
      <c r="G508" s="193"/>
      <c r="H508" s="136">
        <f>Tableau3384[[#This Row],[Montant
CHF]]+Tableau3384[[#This Row],[Abzug/Spesen
CHF]]</f>
        <v>530.70000000000005</v>
      </c>
      <c r="I508" s="188"/>
      <c r="J508" s="189"/>
      <c r="K508" s="189"/>
      <c r="L508" s="298"/>
      <c r="M508" s="194"/>
      <c r="N508" s="185">
        <v>45514</v>
      </c>
      <c r="O508" s="282" t="str">
        <f>IF(Tableau3384[[#This Row],[Date du paiement]]&gt;0,"",Tableau3384[[#This Row],[Montant
CHF]])</f>
        <v/>
      </c>
      <c r="P508" s="287" t="str">
        <f>IF(Tableau3384[[#This Row],[Date du paiement]]="",$B$4-Tableau3384[[#This Row],[Écheance]],"")</f>
        <v/>
      </c>
      <c r="Q508" s="168" t="str">
        <f>IF(Tableau3384[[#This Row],[Date du paiement]]="",IF(Tableau3384[[#This Row],[jours jusqu''à l''écheance]]&gt;0,Tableau3384[[#This Row],[Montant
CHF]],""),"")</f>
        <v/>
      </c>
      <c r="R508" s="298" t="str">
        <f>IF(Tableau3384[[#This Row],[Date du paiement]]="",IF(Tableau3384[[#This Row],[jours jusqu''à l''écheance]]-($B$4-$B$11-1)&gt;0,Tableau3384[[#This Row],[Montant
CHF]],""),"")</f>
        <v/>
      </c>
      <c r="S508" s="142"/>
      <c r="T508" s="168" t="str">
        <f>IF(Tableau3384[[#This Row],[Paiements prevus]]="oui",Tableau3384[[#This Row],[Montant prevu à payer CH]],"")</f>
        <v/>
      </c>
      <c r="U508" s="177"/>
      <c r="V508" s="192" t="s">
        <v>735</v>
      </c>
      <c r="W508" s="190"/>
      <c r="X508" s="187">
        <v>45537</v>
      </c>
      <c r="Y508" s="181" t="s">
        <v>58</v>
      </c>
      <c r="Z508" s="120" t="str">
        <f>IF(Tableau3384[[#This Row],[Méthode du paiement]]="Mastercard","OUI","")</f>
        <v/>
      </c>
      <c r="AA508" s="180" t="s">
        <v>4</v>
      </c>
      <c r="AB508" s="180" t="s">
        <v>1271</v>
      </c>
    </row>
    <row r="509" spans="1:28" s="184" customFormat="1" hidden="1" x14ac:dyDescent="0.25">
      <c r="A509" s="182" t="s">
        <v>1265</v>
      </c>
      <c r="B509" s="185">
        <v>45504</v>
      </c>
      <c r="C509" s="185">
        <v>45504</v>
      </c>
      <c r="D509" s="186" t="s">
        <v>25</v>
      </c>
      <c r="E509" s="183">
        <v>40</v>
      </c>
      <c r="F509" s="195">
        <v>0</v>
      </c>
      <c r="G509" s="193"/>
      <c r="H509" s="136">
        <f>Tableau3384[[#This Row],[Montant
CHF]]+Tableau3384[[#This Row],[Abzug/Spesen
CHF]]</f>
        <v>40</v>
      </c>
      <c r="I509" s="188"/>
      <c r="J509" s="189"/>
      <c r="K509" s="189"/>
      <c r="L509" s="298"/>
      <c r="M509" s="194"/>
      <c r="N509" s="185">
        <v>45524</v>
      </c>
      <c r="O509" s="282" t="str">
        <f>IF(Tableau3384[[#This Row],[Date du paiement]]&gt;0,"",Tableau3384[[#This Row],[Montant
CHF]])</f>
        <v/>
      </c>
      <c r="P509" s="287" t="str">
        <f>IF(Tableau3384[[#This Row],[Date du paiement]]="",$B$4-Tableau3384[[#This Row],[Écheance]],"")</f>
        <v/>
      </c>
      <c r="Q509" s="168" t="str">
        <f>IF(Tableau3384[[#This Row],[Date du paiement]]="",IF(Tableau3384[[#This Row],[jours jusqu''à l''écheance]]&gt;0,Tableau3384[[#This Row],[Montant
CHF]],""),"")</f>
        <v/>
      </c>
      <c r="R509" s="298" t="str">
        <f>IF(Tableau3384[[#This Row],[Date du paiement]]="",IF(Tableau3384[[#This Row],[jours jusqu''à l''écheance]]-($B$4-$B$11-1)&gt;0,Tableau3384[[#This Row],[Montant
CHF]],""),"")</f>
        <v/>
      </c>
      <c r="S509" s="142"/>
      <c r="T509" s="168" t="str">
        <f>IF(Tableau3384[[#This Row],[Paiements prevus]]="oui",Tableau3384[[#This Row],[Montant prevu à payer CH]],"")</f>
        <v/>
      </c>
      <c r="U509" s="177"/>
      <c r="V509" s="192" t="s">
        <v>738</v>
      </c>
      <c r="W509" s="190"/>
      <c r="X509" s="187">
        <v>45537</v>
      </c>
      <c r="Y509" s="181" t="s">
        <v>58</v>
      </c>
      <c r="Z509" s="120" t="str">
        <f>IF(Tableau3384[[#This Row],[Méthode du paiement]]="Mastercard","OUI","")</f>
        <v/>
      </c>
      <c r="AA509" s="435" t="s">
        <v>26</v>
      </c>
      <c r="AB509" s="180" t="s">
        <v>1266</v>
      </c>
    </row>
    <row r="510" spans="1:28" s="184" customFormat="1" hidden="1" x14ac:dyDescent="0.25">
      <c r="A510" s="182" t="s">
        <v>1282</v>
      </c>
      <c r="B510" s="185">
        <v>45504</v>
      </c>
      <c r="C510" s="185">
        <v>45504</v>
      </c>
      <c r="D510" s="186" t="s">
        <v>120</v>
      </c>
      <c r="E510" s="183">
        <v>600</v>
      </c>
      <c r="F510" s="195">
        <v>0</v>
      </c>
      <c r="G510" s="193"/>
      <c r="H510" s="136">
        <f>Tableau3384[[#This Row],[Montant
CHF]]+Tableau3384[[#This Row],[Abzug/Spesen
CHF]]</f>
        <v>600</v>
      </c>
      <c r="I510" s="188"/>
      <c r="J510" s="189"/>
      <c r="K510" s="189"/>
      <c r="L510" s="298"/>
      <c r="M510" s="194"/>
      <c r="N510" s="185">
        <v>45534</v>
      </c>
      <c r="O510" s="282" t="str">
        <f>IF(Tableau3384[[#This Row],[Date du paiement]]&gt;0,"",Tableau3384[[#This Row],[Montant
CHF]])</f>
        <v/>
      </c>
      <c r="P510" s="287" t="str">
        <f>IF(Tableau3384[[#This Row],[Date du paiement]]="",$B$4-Tableau3384[[#This Row],[Écheance]],"")</f>
        <v/>
      </c>
      <c r="Q510" s="168" t="str">
        <f>IF(Tableau3384[[#This Row],[Date du paiement]]="",IF(Tableau3384[[#This Row],[jours jusqu''à l''écheance]]&gt;0,Tableau3384[[#This Row],[Montant
CHF]],""),"")</f>
        <v/>
      </c>
      <c r="R510" s="298" t="str">
        <f>IF(Tableau3384[[#This Row],[Date du paiement]]="",IF(Tableau3384[[#This Row],[jours jusqu''à l''écheance]]-($B$4-$B$11-1)&gt;0,Tableau3384[[#This Row],[Montant
CHF]],""),"")</f>
        <v/>
      </c>
      <c r="S510" s="142"/>
      <c r="T510" s="168" t="str">
        <f>IF(Tableau3384[[#This Row],[Paiements prevus]]="oui",Tableau3384[[#This Row],[Montant prevu à payer CH]],"")</f>
        <v/>
      </c>
      <c r="U510" s="177"/>
      <c r="V510" s="192" t="s">
        <v>735</v>
      </c>
      <c r="W510" s="190"/>
      <c r="X510" s="187">
        <v>45537</v>
      </c>
      <c r="Y510" s="181" t="s">
        <v>58</v>
      </c>
      <c r="Z510" s="120" t="str">
        <f>IF(Tableau3384[[#This Row],[Méthode du paiement]]="Mastercard","OUI","")</f>
        <v/>
      </c>
      <c r="AA510" s="180" t="s">
        <v>43</v>
      </c>
      <c r="AB510" s="180" t="s">
        <v>709</v>
      </c>
    </row>
    <row r="511" spans="1:28" s="184" customFormat="1" hidden="1" x14ac:dyDescent="0.25">
      <c r="A511" s="182" t="s">
        <v>1282</v>
      </c>
      <c r="B511" s="185">
        <v>45504</v>
      </c>
      <c r="C511" s="185">
        <v>45509</v>
      </c>
      <c r="D511" s="186" t="s">
        <v>362</v>
      </c>
      <c r="E511" s="183">
        <v>4744.5</v>
      </c>
      <c r="F511" s="195">
        <v>8.1</v>
      </c>
      <c r="G511" s="193"/>
      <c r="H511" s="136">
        <f>Tableau3384[[#This Row],[Montant
CHF]]+Tableau3384[[#This Row],[Abzug/Spesen
CHF]]</f>
        <v>4744.5</v>
      </c>
      <c r="I511" s="188"/>
      <c r="J511" s="189"/>
      <c r="K511" s="189"/>
      <c r="L511" s="298"/>
      <c r="M511" s="309" t="s">
        <v>1283</v>
      </c>
      <c r="N511" s="185">
        <v>45534</v>
      </c>
      <c r="O511" s="282" t="str">
        <f>IF(Tableau3384[[#This Row],[Date du paiement]]&gt;0,"",Tableau3384[[#This Row],[Montant
CHF]])</f>
        <v/>
      </c>
      <c r="P511" s="287" t="str">
        <f>IF(Tableau3384[[#This Row],[Date du paiement]]="",$B$4-Tableau3384[[#This Row],[Écheance]],"")</f>
        <v/>
      </c>
      <c r="Q511" s="168" t="str">
        <f>IF(Tableau3384[[#This Row],[Date du paiement]]="",IF(Tableau3384[[#This Row],[jours jusqu''à l''écheance]]&gt;0,Tableau3384[[#This Row],[Montant
CHF]],""),"")</f>
        <v/>
      </c>
      <c r="R511" s="298" t="str">
        <f>IF(Tableau3384[[#This Row],[Date du paiement]]="",IF(Tableau3384[[#This Row],[jours jusqu''à l''écheance]]-($B$4-$B$11-1)&gt;0,Tableau3384[[#This Row],[Montant
CHF]],""),"")</f>
        <v/>
      </c>
      <c r="S511" s="142"/>
      <c r="T511" s="168" t="str">
        <f>IF(Tableau3384[[#This Row],[Paiements prevus]]="oui",Tableau3384[[#This Row],[Montant prevu à payer CH]],"")</f>
        <v/>
      </c>
      <c r="U511" s="177"/>
      <c r="V511" s="192" t="s">
        <v>735</v>
      </c>
      <c r="W511" s="190"/>
      <c r="X511" s="187">
        <v>45532</v>
      </c>
      <c r="Y511" s="181" t="s">
        <v>58</v>
      </c>
      <c r="Z511" s="120" t="str">
        <f>IF(Tableau3384[[#This Row],[Méthode du paiement]]="Mastercard","OUI","")</f>
        <v/>
      </c>
      <c r="AA511" s="180" t="s">
        <v>4</v>
      </c>
      <c r="AB511" s="180" t="s">
        <v>1408</v>
      </c>
    </row>
    <row r="512" spans="1:28" s="184" customFormat="1" hidden="1" x14ac:dyDescent="0.25">
      <c r="A512" s="182" t="s">
        <v>1291</v>
      </c>
      <c r="B512" s="185">
        <v>45504</v>
      </c>
      <c r="C512" s="185">
        <v>45512</v>
      </c>
      <c r="D512" s="186" t="s">
        <v>452</v>
      </c>
      <c r="E512" s="183">
        <v>12.25</v>
      </c>
      <c r="F512" s="195">
        <v>8.1</v>
      </c>
      <c r="G512" s="193"/>
      <c r="H512" s="136">
        <f>Tableau3384[[#This Row],[Montant
CHF]]+Tableau3384[[#This Row],[Abzug/Spesen
CHF]]</f>
        <v>12.25</v>
      </c>
      <c r="I512" s="188"/>
      <c r="J512" s="189"/>
      <c r="K512" s="189"/>
      <c r="L512" s="298"/>
      <c r="M512" s="194"/>
      <c r="N512" s="185">
        <v>45534</v>
      </c>
      <c r="O512" s="282" t="str">
        <f>IF(Tableau3384[[#This Row],[Date du paiement]]&gt;0,"",Tableau3384[[#This Row],[Montant
CHF]])</f>
        <v/>
      </c>
      <c r="P512" s="287" t="str">
        <f>IF(Tableau3384[[#This Row],[Date du paiement]]="",$B$4-Tableau3384[[#This Row],[Écheance]],"")</f>
        <v/>
      </c>
      <c r="Q512" s="168" t="str">
        <f>IF(Tableau3384[[#This Row],[Date du paiement]]="",IF(Tableau3384[[#This Row],[jours jusqu''à l''écheance]]&gt;0,Tableau3384[[#This Row],[Montant
CHF]],""),"")</f>
        <v/>
      </c>
      <c r="R512" s="298" t="str">
        <f>IF(Tableau3384[[#This Row],[Date du paiement]]="",IF(Tableau3384[[#This Row],[jours jusqu''à l''écheance]]-($B$4-$B$11-1)&gt;0,Tableau3384[[#This Row],[Montant
CHF]],""),"")</f>
        <v/>
      </c>
      <c r="S512" s="142"/>
      <c r="T512" s="168" t="str">
        <f>IF(Tableau3384[[#This Row],[Paiements prevus]]="oui",Tableau3384[[#This Row],[Montant prevu à payer CH]],"")</f>
        <v/>
      </c>
      <c r="U512" s="177"/>
      <c r="V512" s="192" t="s">
        <v>738</v>
      </c>
      <c r="W512" s="190"/>
      <c r="X512" s="187">
        <v>45537</v>
      </c>
      <c r="Y512" s="181" t="s">
        <v>58</v>
      </c>
      <c r="Z512" s="120" t="str">
        <f>IF(Tableau3384[[#This Row],[Méthode du paiement]]="Mastercard","OUI","")</f>
        <v/>
      </c>
      <c r="AA512" s="180" t="s">
        <v>294</v>
      </c>
      <c r="AB512" s="180" t="s">
        <v>1300</v>
      </c>
    </row>
    <row r="513" spans="1:28" s="184" customFormat="1" hidden="1" x14ac:dyDescent="0.25">
      <c r="A513" s="182" t="s">
        <v>1292</v>
      </c>
      <c r="B513" s="185">
        <v>45504</v>
      </c>
      <c r="C513" s="185">
        <v>45512</v>
      </c>
      <c r="D513" s="186" t="s">
        <v>452</v>
      </c>
      <c r="E513" s="183">
        <v>354.8</v>
      </c>
      <c r="F513" s="195">
        <v>8.1</v>
      </c>
      <c r="G513" s="193"/>
      <c r="H513" s="136">
        <f>Tableau3384[[#This Row],[Montant
CHF]]+Tableau3384[[#This Row],[Abzug/Spesen
CHF]]</f>
        <v>354.8</v>
      </c>
      <c r="I513" s="188"/>
      <c r="J513" s="189"/>
      <c r="K513" s="189"/>
      <c r="L513" s="298"/>
      <c r="M513" s="445"/>
      <c r="N513" s="185">
        <v>45534</v>
      </c>
      <c r="O513" s="282" t="str">
        <f>IF(Tableau3384[[#This Row],[Date du paiement]]&gt;0,"",Tableau3384[[#This Row],[Montant
CHF]])</f>
        <v/>
      </c>
      <c r="P513" s="287" t="str">
        <f>IF(Tableau3384[[#This Row],[Date du paiement]]="",$B$4-Tableau3384[[#This Row],[Écheance]],"")</f>
        <v/>
      </c>
      <c r="Q513" s="168" t="str">
        <f>IF(Tableau3384[[#This Row],[Date du paiement]]="",IF(Tableau3384[[#This Row],[jours jusqu''à l''écheance]]&gt;0,Tableau3384[[#This Row],[Montant
CHF]],""),"")</f>
        <v/>
      </c>
      <c r="R513" s="298" t="str">
        <f>IF(Tableau3384[[#This Row],[Date du paiement]]="",IF(Tableau3384[[#This Row],[jours jusqu''à l''écheance]]-($B$4-$B$11-1)&gt;0,Tableau3384[[#This Row],[Montant
CHF]],""),"")</f>
        <v/>
      </c>
      <c r="S513" s="142"/>
      <c r="T513" s="168" t="str">
        <f>IF(Tableau3384[[#This Row],[Paiements prevus]]="oui",Tableau3384[[#This Row],[Montant prevu à payer CH]],"")</f>
        <v/>
      </c>
      <c r="U513" s="177"/>
      <c r="V513" s="192" t="s">
        <v>738</v>
      </c>
      <c r="W513" s="190"/>
      <c r="X513" s="187">
        <v>45537</v>
      </c>
      <c r="Y513" s="181" t="s">
        <v>58</v>
      </c>
      <c r="Z513" s="120" t="str">
        <f>IF(Tableau3384[[#This Row],[Méthode du paiement]]="Mastercard","OUI","")</f>
        <v/>
      </c>
      <c r="AA513" s="180" t="s">
        <v>294</v>
      </c>
      <c r="AB513" s="180" t="s">
        <v>1301</v>
      </c>
    </row>
    <row r="514" spans="1:28" s="184" customFormat="1" hidden="1" x14ac:dyDescent="0.25">
      <c r="A514" s="182" t="s">
        <v>1299</v>
      </c>
      <c r="B514" s="185">
        <v>45504</v>
      </c>
      <c r="C514" s="185">
        <v>45512</v>
      </c>
      <c r="D514" s="186" t="s">
        <v>162</v>
      </c>
      <c r="E514" s="183">
        <v>150.25</v>
      </c>
      <c r="F514" s="195">
        <v>8.1</v>
      </c>
      <c r="G514" s="193"/>
      <c r="H514" s="136">
        <f>Tableau3384[[#This Row],[Montant
CHF]]+Tableau3384[[#This Row],[Abzug/Spesen
CHF]]</f>
        <v>150.25</v>
      </c>
      <c r="I514" s="188"/>
      <c r="J514" s="189"/>
      <c r="K514" s="189"/>
      <c r="L514" s="298"/>
      <c r="M514" s="194"/>
      <c r="N514" s="185">
        <v>45534</v>
      </c>
      <c r="O514" s="282" t="str">
        <f>IF(Tableau3384[[#This Row],[Date du paiement]]&gt;0,"",Tableau3384[[#This Row],[Montant
CHF]])</f>
        <v/>
      </c>
      <c r="P514" s="287" t="str">
        <f>IF(Tableau3384[[#This Row],[Date du paiement]]="",$B$4-Tableau3384[[#This Row],[Écheance]],"")</f>
        <v/>
      </c>
      <c r="Q514" s="168" t="str">
        <f>IF(Tableau3384[[#This Row],[Date du paiement]]="",IF(Tableau3384[[#This Row],[jours jusqu''à l''écheance]]&gt;0,Tableau3384[[#This Row],[Montant
CHF]],""),"")</f>
        <v/>
      </c>
      <c r="R514" s="298" t="str">
        <f>IF(Tableau3384[[#This Row],[Date du paiement]]="",IF(Tableau3384[[#This Row],[jours jusqu''à l''écheance]]-($B$4-$B$11-1)&gt;0,Tableau3384[[#This Row],[Montant
CHF]],""),"")</f>
        <v/>
      </c>
      <c r="S514" s="142"/>
      <c r="T514" s="168" t="str">
        <f>IF(Tableau3384[[#This Row],[Paiements prevus]]="oui",Tableau3384[[#This Row],[Montant prevu à payer CH]],"")</f>
        <v/>
      </c>
      <c r="U514" s="177"/>
      <c r="V514" s="192" t="s">
        <v>735</v>
      </c>
      <c r="W514" s="190"/>
      <c r="X514" s="187">
        <v>45537</v>
      </c>
      <c r="Y514" s="181" t="s">
        <v>58</v>
      </c>
      <c r="Z514" s="120" t="str">
        <f>IF(Tableau3384[[#This Row],[Méthode du paiement]]="Mastercard","OUI","")</f>
        <v/>
      </c>
      <c r="AA514" s="180" t="s">
        <v>43</v>
      </c>
      <c r="AB514" s="180" t="s">
        <v>709</v>
      </c>
    </row>
    <row r="515" spans="1:28" s="184" customFormat="1" hidden="1" x14ac:dyDescent="0.25">
      <c r="A515" s="182" t="s">
        <v>1</v>
      </c>
      <c r="B515" s="185">
        <v>45504</v>
      </c>
      <c r="C515" s="185">
        <v>45518</v>
      </c>
      <c r="D515" s="186" t="s">
        <v>1356</v>
      </c>
      <c r="E515" s="183">
        <v>1849.96</v>
      </c>
      <c r="F515" s="195" t="s">
        <v>0</v>
      </c>
      <c r="G515" s="193"/>
      <c r="H515" s="136">
        <f>Tableau3384[[#This Row],[Montant
CHF]]+Tableau3384[[#This Row],[Abzug/Spesen
CHF]]</f>
        <v>1849.96</v>
      </c>
      <c r="I515" s="188"/>
      <c r="J515" s="189"/>
      <c r="K515" s="189"/>
      <c r="L515" s="298"/>
      <c r="M515" s="194"/>
      <c r="N515" s="185">
        <v>45533</v>
      </c>
      <c r="O515" s="282" t="str">
        <f>IF(Tableau3384[[#This Row],[Date du paiement]]&gt;0,"",Tableau3384[[#This Row],[Montant
CHF]])</f>
        <v/>
      </c>
      <c r="P515" s="287" t="str">
        <f>IF(Tableau3384[[#This Row],[Date du paiement]]="",$B$4-Tableau3384[[#This Row],[Écheance]],"")</f>
        <v/>
      </c>
      <c r="Q515" s="168" t="str">
        <f>IF(Tableau3384[[#This Row],[Date du paiement]]="",IF(Tableau3384[[#This Row],[jours jusqu''à l''écheance]]&gt;0,Tableau3384[[#This Row],[Montant
CHF]],""),"")</f>
        <v/>
      </c>
      <c r="R515" s="298" t="str">
        <f>IF(Tableau3384[[#This Row],[Date du paiement]]="",IF(Tableau3384[[#This Row],[jours jusqu''à l''écheance]]-($B$4-$B$11-1)&gt;0,Tableau3384[[#This Row],[Montant
CHF]],""),"")</f>
        <v/>
      </c>
      <c r="S515" s="142"/>
      <c r="T515" s="168" t="str">
        <f>IF(Tableau3384[[#This Row],[Paiements prevus]]="oui",Tableau3384[[#This Row],[Montant prevu à payer CH]],"")</f>
        <v/>
      </c>
      <c r="U515" s="177"/>
      <c r="V515" s="192" t="s">
        <v>735</v>
      </c>
      <c r="W515" s="190"/>
      <c r="X515" s="187">
        <v>45533</v>
      </c>
      <c r="Y515" s="181" t="s">
        <v>58</v>
      </c>
      <c r="Z515" s="120" t="str">
        <f>IF(Tableau3384[[#This Row],[Méthode du paiement]]="Mastercard","OUI","")</f>
        <v/>
      </c>
      <c r="AA515" s="180" t="s">
        <v>43</v>
      </c>
      <c r="AB515" s="180" t="s">
        <v>1407</v>
      </c>
    </row>
    <row r="516" spans="1:28" s="184" customFormat="1" hidden="1" x14ac:dyDescent="0.25">
      <c r="A516" s="182" t="s">
        <v>1334</v>
      </c>
      <c r="B516" s="185">
        <v>45504</v>
      </c>
      <c r="C516" s="185">
        <v>45518</v>
      </c>
      <c r="D516" s="186" t="s">
        <v>104</v>
      </c>
      <c r="E516" s="183">
        <v>1061.06</v>
      </c>
      <c r="F516" s="195">
        <v>8.1</v>
      </c>
      <c r="G516" s="193"/>
      <c r="H516" s="136">
        <f>Tableau3384[[#This Row],[Montant
CHF]]+Tableau3384[[#This Row],[Abzug/Spesen
CHF]]</f>
        <v>1061.06</v>
      </c>
      <c r="I516" s="188"/>
      <c r="J516" s="189"/>
      <c r="K516" s="189"/>
      <c r="L516" s="298"/>
      <c r="M516" s="194"/>
      <c r="N516" s="185">
        <v>45504</v>
      </c>
      <c r="O516" s="282" t="str">
        <f>IF(Tableau3384[[#This Row],[Date du paiement]]&gt;0,"",Tableau3384[[#This Row],[Montant
CHF]])</f>
        <v/>
      </c>
      <c r="P516" s="287" t="str">
        <f>IF(Tableau3384[[#This Row],[Date du paiement]]="",$B$4-Tableau3384[[#This Row],[Écheance]],"")</f>
        <v/>
      </c>
      <c r="Q516" s="168" t="str">
        <f>IF(Tableau3384[[#This Row],[Date du paiement]]="",IF(Tableau3384[[#This Row],[jours jusqu''à l''écheance]]&gt;0,Tableau3384[[#This Row],[Montant
CHF]],""),"")</f>
        <v/>
      </c>
      <c r="R516" s="298" t="str">
        <f>IF(Tableau3384[[#This Row],[Date du paiement]]="",IF(Tableau3384[[#This Row],[jours jusqu''à l''écheance]]&gt;0,Tableau3384[[#This Row],[Montant
CHF]],""),"")</f>
        <v/>
      </c>
      <c r="S516" s="142"/>
      <c r="T516" s="168" t="str">
        <f>IF(Tableau3384[[#This Row],[Paiements prevus]]="oui",Tableau3384[[#This Row],[Montant prevu à payer CH]],"")</f>
        <v/>
      </c>
      <c r="U516" s="177"/>
      <c r="V516" s="192" t="s">
        <v>799</v>
      </c>
      <c r="W516" s="190"/>
      <c r="X516" s="187">
        <v>45503</v>
      </c>
      <c r="Y516" s="181" t="s">
        <v>105</v>
      </c>
      <c r="Z516" s="120" t="str">
        <f>IF(Tableau3384[[#This Row],[Méthode du paiement]]="Mastercard","OUI","")</f>
        <v>OUI</v>
      </c>
      <c r="AA516" s="180" t="s">
        <v>14</v>
      </c>
      <c r="AB516" s="180" t="s">
        <v>1338</v>
      </c>
    </row>
    <row r="517" spans="1:28" s="184" customFormat="1" hidden="1" x14ac:dyDescent="0.25">
      <c r="A517" s="182" t="s">
        <v>1382</v>
      </c>
      <c r="B517" s="185">
        <v>45504</v>
      </c>
      <c r="C517" s="185">
        <v>45527</v>
      </c>
      <c r="D517" s="186" t="s">
        <v>245</v>
      </c>
      <c r="E517" s="183">
        <f>Tableau3384[[#This Row],[Montant
EUR]]*Tableau3384[[#This Row],[Taux 
de change]]</f>
        <v>684.34727579999992</v>
      </c>
      <c r="F517" s="195">
        <v>0</v>
      </c>
      <c r="G517" s="193"/>
      <c r="H517" s="136">
        <f>Tableau3384[[#This Row],[Montant
CHF]]+Tableau3384[[#This Row],[Abzug/Spesen
CHF]]</f>
        <v>684.34727579999992</v>
      </c>
      <c r="I517" s="188">
        <v>0.94977</v>
      </c>
      <c r="J517" s="189">
        <v>720.54</v>
      </c>
      <c r="K517" s="189"/>
      <c r="L517" s="298"/>
      <c r="M517" s="194" t="s">
        <v>1383</v>
      </c>
      <c r="N517" s="185">
        <v>45534</v>
      </c>
      <c r="O517" s="282" t="str">
        <f>IF(Tableau3384[[#This Row],[Date du paiement]]&gt;0,"",Tableau3384[[#This Row],[Montant
CHF]])</f>
        <v/>
      </c>
      <c r="P517" s="287" t="str">
        <f>IF(Tableau3384[[#This Row],[Date du paiement]]="",$B$4-Tableau3384[[#This Row],[Écheance]],"")</f>
        <v/>
      </c>
      <c r="Q517" s="168" t="str">
        <f>IF(Tableau3384[[#This Row],[Date du paiement]]="",IF(Tableau3384[[#This Row],[jours jusqu''à l''écheance]]&gt;0,Tableau3384[[#This Row],[Montant
CHF]],""),"")</f>
        <v/>
      </c>
      <c r="R517" s="298" t="str">
        <f>IF(Tableau3384[[#This Row],[Date du paiement]]="",IF(Tableau3384[[#This Row],[jours jusqu''à l''écheance]]-($B$4-$B$11-1)&gt;0,Tableau3384[[#This Row],[Montant
CHF]],""),"")</f>
        <v/>
      </c>
      <c r="S517" s="142"/>
      <c r="T517" s="168" t="str">
        <f>IF(Tableau3384[[#This Row],[Paiements prevus]]="oui",Tableau3384[[#This Row],[Montant prevu à payer CH]],"")</f>
        <v/>
      </c>
      <c r="U517" s="177"/>
      <c r="V517" s="192" t="s">
        <v>737</v>
      </c>
      <c r="W517" s="190"/>
      <c r="X517" s="187">
        <v>45531</v>
      </c>
      <c r="Y517" s="181" t="s">
        <v>58</v>
      </c>
      <c r="Z517" s="120" t="str">
        <f>IF(Tableau3384[[#This Row],[Méthode du paiement]]="Mastercard","OUI","")</f>
        <v/>
      </c>
      <c r="AA517" s="180" t="s">
        <v>11</v>
      </c>
      <c r="AB517" s="180" t="s">
        <v>1384</v>
      </c>
    </row>
    <row r="518" spans="1:28" s="184" customFormat="1" hidden="1" x14ac:dyDescent="0.25">
      <c r="A518" s="182" t="s">
        <v>1481</v>
      </c>
      <c r="B518" s="185">
        <v>45504</v>
      </c>
      <c r="C518" s="185">
        <v>45504</v>
      </c>
      <c r="D518" s="186" t="s">
        <v>94</v>
      </c>
      <c r="E518" s="183">
        <v>402.95</v>
      </c>
      <c r="F518" s="195">
        <v>8.1</v>
      </c>
      <c r="G518" s="193"/>
      <c r="H518" s="136">
        <f>Tableau3384[[#This Row],[Montant
CHF]]+Tableau3384[[#This Row],[Abzug/Spesen
CHF]]</f>
        <v>402.95</v>
      </c>
      <c r="I518" s="188"/>
      <c r="J518" s="189"/>
      <c r="K518" s="189"/>
      <c r="L518" s="298">
        <v>425.43</v>
      </c>
      <c r="M518" s="194"/>
      <c r="N518" s="185">
        <v>45535</v>
      </c>
      <c r="O518" s="282" t="str">
        <f>IF(Tableau3384[[#This Row],[Date du paiement]]&gt;0,"",Tableau3384[[#This Row],[Montant
CHF]])</f>
        <v/>
      </c>
      <c r="P518" s="474" t="str">
        <f>IF(Tableau3384[[#This Row],[Date du paiement]]="",$B$4-Tableau3384[[#This Row],[Écheance]],"")</f>
        <v/>
      </c>
      <c r="Q518" s="168" t="str">
        <f>IF(Tableau3384[[#This Row],[Date du paiement]]="",IF(Tableau3384[[#This Row],[jours jusqu''à l''écheance]]&gt;0,Tableau3384[[#This Row],[Montant
CHF]],""),"")</f>
        <v/>
      </c>
      <c r="R518" s="298" t="str">
        <f>IF(Tableau3384[[#This Row],[Date du paiement]]="",IF(Tableau3384[[#This Row],[jours jusqu''à l''écheance]]-($B$4-$B$11-1)&gt;0,Tableau3384[[#This Row],[Montant
CHF]],""),"")</f>
        <v/>
      </c>
      <c r="S518" s="142"/>
      <c r="T518" s="168" t="str">
        <f>IF(Tableau3384[[#This Row],[Paiements prevus]]="oui",Tableau3384[[#This Row],[Montant prevu à payer CH]],"")</f>
        <v/>
      </c>
      <c r="U518" s="177"/>
      <c r="V518" s="192" t="s">
        <v>738</v>
      </c>
      <c r="W518" s="190"/>
      <c r="X518" s="187">
        <v>45546</v>
      </c>
      <c r="Y518" s="181" t="s">
        <v>58</v>
      </c>
      <c r="Z518" s="120" t="str">
        <f>IF(Tableau3384[[#This Row],[Méthode du paiement]]="Mastercard","OUI","")</f>
        <v/>
      </c>
      <c r="AA518" s="180" t="s">
        <v>1486</v>
      </c>
      <c r="AB518" s="180" t="s">
        <v>1485</v>
      </c>
    </row>
    <row r="519" spans="1:28" s="184" customFormat="1" hidden="1" x14ac:dyDescent="0.25">
      <c r="A519" s="182" t="s">
        <v>1482</v>
      </c>
      <c r="B519" s="185">
        <v>45504</v>
      </c>
      <c r="C519" s="185">
        <v>45504</v>
      </c>
      <c r="D519" s="186" t="s">
        <v>94</v>
      </c>
      <c r="E519" s="183">
        <f>425.43-402.95</f>
        <v>22.480000000000018</v>
      </c>
      <c r="F519" s="195">
        <v>8.1</v>
      </c>
      <c r="G519" s="193"/>
      <c r="H519" s="136">
        <f>Tableau3384[[#This Row],[Montant
CHF]]+Tableau3384[[#This Row],[Abzug/Spesen
CHF]]</f>
        <v>22.480000000000018</v>
      </c>
      <c r="I519" s="188"/>
      <c r="J519" s="189"/>
      <c r="K519" s="189"/>
      <c r="L519" s="298">
        <v>425.43</v>
      </c>
      <c r="M519" s="194"/>
      <c r="N519" s="185">
        <v>45535</v>
      </c>
      <c r="O519" s="282" t="str">
        <f>IF(Tableau3384[[#This Row],[Date du paiement]]&gt;0,"",Tableau3384[[#This Row],[Montant
CHF]])</f>
        <v/>
      </c>
      <c r="P519" s="287" t="str">
        <f>IF(Tableau3384[[#This Row],[Date du paiement]]="",$B$4-Tableau3384[[#This Row],[Écheance]],"")</f>
        <v/>
      </c>
      <c r="Q519" s="168" t="str">
        <f>IF(Tableau3384[[#This Row],[Date du paiement]]="",IF(Tableau3384[[#This Row],[jours jusqu''à l''écheance]]&gt;0,Tableau3384[[#This Row],[Montant
CHF]],""),"")</f>
        <v/>
      </c>
      <c r="R519" s="298" t="str">
        <f>IF(Tableau3384[[#This Row],[Date du paiement]]="",IF(Tableau3384[[#This Row],[jours jusqu''à l''écheance]]-($B$4-$B$11-1)&gt;0,Tableau3384[[#This Row],[Montant
CHF]],""),"")</f>
        <v/>
      </c>
      <c r="S519" s="142"/>
      <c r="T519" s="168" t="str">
        <f>IF(Tableau3384[[#This Row],[Paiements prevus]]="oui",Tableau3384[[#This Row],[Montant prevu à payer CH]],"")</f>
        <v/>
      </c>
      <c r="U519" s="177"/>
      <c r="V519" s="192" t="s">
        <v>735</v>
      </c>
      <c r="W519" s="190"/>
      <c r="X519" s="187">
        <v>45546</v>
      </c>
      <c r="Y519" s="181" t="s">
        <v>58</v>
      </c>
      <c r="Z519" s="120" t="str">
        <f>IF(Tableau3384[[#This Row],[Méthode du paiement]]="Mastercard","OUI","")</f>
        <v/>
      </c>
      <c r="AA519" s="180" t="s">
        <v>102</v>
      </c>
      <c r="AB519" s="180" t="s">
        <v>102</v>
      </c>
    </row>
    <row r="520" spans="1:28" s="184" customFormat="1" hidden="1" x14ac:dyDescent="0.25">
      <c r="A520" s="182" t="s">
        <v>1444</v>
      </c>
      <c r="B520" s="185">
        <v>45504</v>
      </c>
      <c r="C520" s="185">
        <v>45537</v>
      </c>
      <c r="D520" s="186" t="s">
        <v>101</v>
      </c>
      <c r="E520" s="183">
        <v>73.67</v>
      </c>
      <c r="F520" s="195">
        <v>8.1</v>
      </c>
      <c r="G520" s="193"/>
      <c r="H520" s="136">
        <f>Tableau3384[[#This Row],[Montant
CHF]]+Tableau3384[[#This Row],[Abzug/Spesen
CHF]]</f>
        <v>73.67</v>
      </c>
      <c r="I520" s="188"/>
      <c r="J520" s="189"/>
      <c r="K520" s="189"/>
      <c r="L520" s="298"/>
      <c r="M520" s="194"/>
      <c r="N520" s="185">
        <v>45534</v>
      </c>
      <c r="O520" s="282" t="str">
        <f>IF(Tableau3384[[#This Row],[Date du paiement]]&gt;0,"",Tableau3384[[#This Row],[Montant
CHF]])</f>
        <v/>
      </c>
      <c r="P520" s="475" t="str">
        <f>IF(Tableau3384[[#This Row],[Date du paiement]]="",$B$4-Tableau3384[[#This Row],[Écheance]],"")</f>
        <v/>
      </c>
      <c r="Q520" s="168" t="str">
        <f>IF(Tableau3384[[#This Row],[Date du paiement]]="",IF(Tableau3384[[#This Row],[jours jusqu''à l''écheance]]&gt;0,Tableau3384[[#This Row],[Montant
CHF]],""),"")</f>
        <v/>
      </c>
      <c r="R520" s="298" t="str">
        <f>IF(Tableau3384[[#This Row],[Date du paiement]]="",IF(Tableau3384[[#This Row],[jours jusqu''à l''écheance]]-($B$4-$B$11-1)&gt;0,Tableau3384[[#This Row],[Montant
CHF]],""),"")</f>
        <v/>
      </c>
      <c r="S520" s="142"/>
      <c r="T520" s="168" t="str">
        <f>IF(Tableau3384[[#This Row],[Paiements prevus]]="oui",Tableau3384[[#This Row],[Montant prevu à payer CH]],"")</f>
        <v/>
      </c>
      <c r="U520" s="177"/>
      <c r="V520" s="192" t="s">
        <v>735</v>
      </c>
      <c r="W520" s="190"/>
      <c r="X520" s="187">
        <v>45546</v>
      </c>
      <c r="Y520" s="181" t="s">
        <v>58</v>
      </c>
      <c r="Z520" s="120" t="str">
        <f>IF(Tableau3384[[#This Row],[Méthode du paiement]]="Mastercard","OUI","")</f>
        <v/>
      </c>
      <c r="AA520" s="180" t="s">
        <v>102</v>
      </c>
      <c r="AB520" s="180" t="s">
        <v>709</v>
      </c>
    </row>
    <row r="521" spans="1:28" s="184" customFormat="1" hidden="1" x14ac:dyDescent="0.25">
      <c r="A521" s="182">
        <v>1245742</v>
      </c>
      <c r="B521" s="185">
        <v>45505</v>
      </c>
      <c r="C521" s="185">
        <v>45292</v>
      </c>
      <c r="D521" s="186" t="s">
        <v>2</v>
      </c>
      <c r="E521" s="183">
        <v>1523.55</v>
      </c>
      <c r="F521" s="195">
        <v>8.1</v>
      </c>
      <c r="G521" s="193"/>
      <c r="H521" s="136">
        <f>Tableau3384[[#This Row],[Montant
CHF]]+Tableau3384[[#This Row],[Abzug/Spesen
CHF]]</f>
        <v>1523.55</v>
      </c>
      <c r="I521" s="188"/>
      <c r="J521" s="189"/>
      <c r="K521" s="189"/>
      <c r="L521" s="298"/>
      <c r="M521" s="194"/>
      <c r="N521" s="185">
        <v>45505</v>
      </c>
      <c r="O521" s="282" t="str">
        <f>IF(Tableau3384[[#This Row],[Date du paiement]]&gt;0,"",Tableau3384[[#This Row],[Montant
CHF]])</f>
        <v/>
      </c>
      <c r="P521" s="474" t="str">
        <f>IF(Tableau3384[[#This Row],[Date du paiement]]="",$B$4-Tableau3384[[#This Row],[Écheance]],"")</f>
        <v/>
      </c>
      <c r="Q521" s="168" t="str">
        <f>IF(Tableau3384[[#This Row],[Date du paiement]]="",IF(Tableau3384[[#This Row],[jours jusqu''à l''écheance]]&gt;0,Tableau3384[[#This Row],[Montant
CHF]],""),"")</f>
        <v/>
      </c>
      <c r="R521" s="298" t="str">
        <f>IF(Tableau3384[[#This Row],[Date du paiement]]="",IF(Tableau3384[[#This Row],[jours jusqu''à l''écheance]]-($B$4-$B$11-1)&gt;0,Tableau3384[[#This Row],[Montant
CHF]],""),"")</f>
        <v/>
      </c>
      <c r="S521" s="142"/>
      <c r="T521" s="168" t="str">
        <f>IF(Tableau3384[[#This Row],[Paiements prevus]]="oui",Tableau3384[[#This Row],[Montant prevu à payer CH]],"")</f>
        <v/>
      </c>
      <c r="U521" s="177"/>
      <c r="V521" s="192" t="s">
        <v>735</v>
      </c>
      <c r="W521" s="190"/>
      <c r="X521" s="187">
        <v>45506</v>
      </c>
      <c r="Y521" s="181" t="s">
        <v>58</v>
      </c>
      <c r="Z521" s="120" t="str">
        <f>IF(Tableau3384[[#This Row],[Méthode du paiement]]="Mastercard","OUI","")</f>
        <v/>
      </c>
      <c r="AA521" s="180" t="s">
        <v>1162</v>
      </c>
      <c r="AB521" s="180" t="s">
        <v>710</v>
      </c>
    </row>
    <row r="522" spans="1:28" s="184" customFormat="1" hidden="1" x14ac:dyDescent="0.25">
      <c r="A522" s="182" t="s">
        <v>632</v>
      </c>
      <c r="B522" s="185">
        <v>45505</v>
      </c>
      <c r="C522" s="185">
        <v>45292</v>
      </c>
      <c r="D522" s="186" t="s">
        <v>3</v>
      </c>
      <c r="E522" s="183">
        <v>3438</v>
      </c>
      <c r="F522" s="195">
        <v>0</v>
      </c>
      <c r="G522" s="193"/>
      <c r="H522" s="136">
        <f>Tableau3384[[#This Row],[Montant
CHF]]+Tableau3384[[#This Row],[Abzug/Spesen
CHF]]</f>
        <v>3438</v>
      </c>
      <c r="I522" s="188"/>
      <c r="J522" s="189"/>
      <c r="K522" s="189"/>
      <c r="L522" s="298"/>
      <c r="M522" s="194"/>
      <c r="N522" s="185">
        <v>45505</v>
      </c>
      <c r="O522" s="282" t="str">
        <f>IF(Tableau3384[[#This Row],[Date du paiement]]&gt;0,"",Tableau3384[[#This Row],[Montant
CHF]])</f>
        <v/>
      </c>
      <c r="P522" s="474" t="str">
        <f>IF(Tableau3384[[#This Row],[Date du paiement]]="",$B$4-Tableau3384[[#This Row],[Écheance]],"")</f>
        <v/>
      </c>
      <c r="Q522" s="168" t="str">
        <f>IF(Tableau3384[[#This Row],[Date du paiement]]="",IF(Tableau3384[[#This Row],[jours jusqu''à l''écheance]]&gt;0,Tableau3384[[#This Row],[Montant
CHF]],""),"")</f>
        <v/>
      </c>
      <c r="R522" s="298" t="str">
        <f>IF(Tableau3384[[#This Row],[Date du paiement]]="",IF(Tableau3384[[#This Row],[jours jusqu''à l''écheance]]-($B$4-$B$11-1)&gt;0,Tableau3384[[#This Row],[Montant
CHF]],""),"")</f>
        <v/>
      </c>
      <c r="S522" s="142"/>
      <c r="T522" s="168" t="str">
        <f>IF(Tableau3384[[#This Row],[Paiements prevus]]="oui",Tableau3384[[#This Row],[Montant prevu à payer CH]],"")</f>
        <v/>
      </c>
      <c r="U522" s="177"/>
      <c r="V522" s="192" t="s">
        <v>735</v>
      </c>
      <c r="W522" s="190"/>
      <c r="X522" s="187">
        <v>45513</v>
      </c>
      <c r="Y522" s="181" t="s">
        <v>58</v>
      </c>
      <c r="Z522" s="120" t="str">
        <f>IF(Tableau3384[[#This Row],[Méthode du paiement]]="Mastercard","OUI","")</f>
        <v/>
      </c>
      <c r="AA522" s="180" t="s">
        <v>6</v>
      </c>
      <c r="AB522" s="180" t="s">
        <v>710</v>
      </c>
    </row>
    <row r="523" spans="1:28" s="184" customFormat="1" hidden="1" x14ac:dyDescent="0.25">
      <c r="A523" s="182">
        <v>214112</v>
      </c>
      <c r="B523" s="185">
        <v>45505</v>
      </c>
      <c r="C523" s="185">
        <v>45425</v>
      </c>
      <c r="D523" s="186" t="s">
        <v>7</v>
      </c>
      <c r="E523" s="183">
        <v>11585</v>
      </c>
      <c r="F523" s="195">
        <v>0</v>
      </c>
      <c r="G523" s="193"/>
      <c r="H523" s="136">
        <f>Tableau3384[[#This Row],[Montant
CHF]]+Tableau3384[[#This Row],[Abzug/Spesen
CHF]]</f>
        <v>11585</v>
      </c>
      <c r="I523" s="188"/>
      <c r="J523" s="189"/>
      <c r="K523" s="189"/>
      <c r="L523" s="298"/>
      <c r="M523" s="194"/>
      <c r="N523" s="185">
        <v>45505</v>
      </c>
      <c r="O523" s="282" t="str">
        <f>IF(Tableau3384[[#This Row],[Date du paiement]]&gt;0,"",Tableau3384[[#This Row],[Montant
CHF]])</f>
        <v/>
      </c>
      <c r="P523" s="276" t="str">
        <f>IF(Tableau3384[[#This Row],[Date du paiement]]="",$B$4-Tableau3384[[#This Row],[Écheance]],"")</f>
        <v/>
      </c>
      <c r="Q523" s="168" t="str">
        <f>IF(Tableau3384[[#This Row],[Date du paiement]]="",IF(Tableau3384[[#This Row],[jours jusqu''à l''écheance]]&gt;0,Tableau3384[[#This Row],[Montant
CHF]],""),"")</f>
        <v/>
      </c>
      <c r="R523" s="298" t="str">
        <f>IF(Tableau3384[[#This Row],[Date du paiement]]="",IF(Tableau3384[[#This Row],[jours jusqu''à l''écheance]]-($B$4-$B$11-1)&gt;0,Tableau3384[[#This Row],[Montant
CHF]],""),"")</f>
        <v/>
      </c>
      <c r="S523" s="142"/>
      <c r="T523" s="168" t="str">
        <f>IF(Tableau3384[[#This Row],[Paiements prevus]]="oui",Tableau3384[[#This Row],[Montant prevu à payer CH]],"")</f>
        <v/>
      </c>
      <c r="U523" s="177"/>
      <c r="V523" s="192" t="s">
        <v>735</v>
      </c>
      <c r="W523" s="190"/>
      <c r="X523" s="187">
        <v>45513</v>
      </c>
      <c r="Y523" s="181" t="s">
        <v>58</v>
      </c>
      <c r="Z523" s="120" t="str">
        <f>IF(Tableau3384[[#This Row],[Méthode du paiement]]="Mastercard","OUI","")</f>
        <v/>
      </c>
      <c r="AA523" s="180" t="s">
        <v>6</v>
      </c>
      <c r="AB523" s="180" t="s">
        <v>710</v>
      </c>
    </row>
    <row r="524" spans="1:28" s="184" customFormat="1" hidden="1" x14ac:dyDescent="0.25">
      <c r="A524" s="182" t="s">
        <v>1248</v>
      </c>
      <c r="B524" s="185">
        <v>45505</v>
      </c>
      <c r="C524" s="185">
        <v>45497</v>
      </c>
      <c r="D524" s="186" t="s">
        <v>220</v>
      </c>
      <c r="E524" s="183">
        <v>9851.2000000000007</v>
      </c>
      <c r="F524" s="195">
        <v>8.1</v>
      </c>
      <c r="G524" s="193"/>
      <c r="H524" s="136">
        <f>Tableau3384[[#This Row],[Montant
CHF]]+Tableau3384[[#This Row],[Abzug/Spesen
CHF]]</f>
        <v>9851.2000000000007</v>
      </c>
      <c r="I524" s="188"/>
      <c r="J524" s="189"/>
      <c r="K524" s="189"/>
      <c r="L524" s="298"/>
      <c r="M524" s="194"/>
      <c r="N524" s="185">
        <v>45534</v>
      </c>
      <c r="O524" s="282" t="str">
        <f>IF(Tableau3384[[#This Row],[Date du paiement]]&gt;0,"",Tableau3384[[#This Row],[Montant
CHF]])</f>
        <v/>
      </c>
      <c r="P524" s="276" t="str">
        <f>IF(Tableau3384[[#This Row],[Date du paiement]]="",$B$4-Tableau3384[[#This Row],[Écheance]],"")</f>
        <v/>
      </c>
      <c r="Q524" s="168" t="str">
        <f>IF(Tableau3384[[#This Row],[Date du paiement]]="",IF(Tableau3384[[#This Row],[jours jusqu''à l''écheance]]&gt;0,Tableau3384[[#This Row],[Montant
CHF]],""),"")</f>
        <v/>
      </c>
      <c r="R524" s="298" t="str">
        <f>IF(Tableau3384[[#This Row],[Date du paiement]]="",IF(Tableau3384[[#This Row],[jours jusqu''à l''écheance]]-($B$4-$B$11-1)&gt;0,Tableau3384[[#This Row],[Montant
CHF]],""),"")</f>
        <v/>
      </c>
      <c r="S524" s="142"/>
      <c r="T524" s="168" t="str">
        <f>IF(Tableau3384[[#This Row],[Paiements prevus]]="oui",Tableau3384[[#This Row],[Montant prevu à payer CH]],"")</f>
        <v/>
      </c>
      <c r="U524" s="177"/>
      <c r="V524" s="192" t="s">
        <v>735</v>
      </c>
      <c r="W524" s="190"/>
      <c r="X524" s="187">
        <v>45534</v>
      </c>
      <c r="Y524" s="181" t="s">
        <v>345</v>
      </c>
      <c r="Z524" s="120" t="str">
        <f>IF(Tableau3384[[#This Row],[Méthode du paiement]]="Mastercard","OUI","")</f>
        <v/>
      </c>
      <c r="AA524" s="180" t="s">
        <v>221</v>
      </c>
      <c r="AB524" s="180" t="s">
        <v>709</v>
      </c>
    </row>
    <row r="525" spans="1:28" s="184" customFormat="1" hidden="1" x14ac:dyDescent="0.25">
      <c r="A525" s="182" t="s">
        <v>1267</v>
      </c>
      <c r="B525" s="185">
        <v>45505</v>
      </c>
      <c r="C525" s="185">
        <v>45505</v>
      </c>
      <c r="D525" s="186" t="s">
        <v>46</v>
      </c>
      <c r="E525" s="183">
        <v>597.79</v>
      </c>
      <c r="F525" s="195">
        <v>8.1</v>
      </c>
      <c r="G525" s="193"/>
      <c r="H525" s="136">
        <f>Tableau3384[[#This Row],[Montant
CHF]]+Tableau3384[[#This Row],[Abzug/Spesen
CHF]]</f>
        <v>597.79</v>
      </c>
      <c r="I525" s="188"/>
      <c r="J525" s="189"/>
      <c r="K525" s="189"/>
      <c r="L525" s="298"/>
      <c r="M525" s="194"/>
      <c r="N525" s="185">
        <v>45535</v>
      </c>
      <c r="O525" s="282" t="str">
        <f>IF(Tableau3384[[#This Row],[Date du paiement]]&gt;0,"",Tableau3384[[#This Row],[Montant
CHF]])</f>
        <v/>
      </c>
      <c r="P525" s="276" t="str">
        <f>IF(Tableau3384[[#This Row],[Date du paiement]]="",$B$4-Tableau3384[[#This Row],[Écheance]],"")</f>
        <v/>
      </c>
      <c r="Q525" s="168" t="str">
        <f>IF(Tableau3384[[#This Row],[Date du paiement]]="",IF(Tableau3384[[#This Row],[jours jusqu''à l''écheance]]&gt;0,Tableau3384[[#This Row],[Montant
CHF]],""),"")</f>
        <v/>
      </c>
      <c r="R525" s="298" t="str">
        <f>IF(Tableau3384[[#This Row],[Date du paiement]]="",IF(Tableau3384[[#This Row],[jours jusqu''à l''écheance]]-($B$4-$B$11-1)&gt;0,Tableau3384[[#This Row],[Montant
CHF]],""),"")</f>
        <v/>
      </c>
      <c r="S525" s="142"/>
      <c r="T525" s="168" t="str">
        <f>IF(Tableau3384[[#This Row],[Paiements prevus]]="oui",Tableau3384[[#This Row],[Montant prevu à payer CH]],"")</f>
        <v/>
      </c>
      <c r="U525" s="177"/>
      <c r="V525" s="192" t="s">
        <v>735</v>
      </c>
      <c r="W525" s="190"/>
      <c r="X525" s="187">
        <v>45537</v>
      </c>
      <c r="Y525" s="181" t="s">
        <v>58</v>
      </c>
      <c r="Z525" s="120" t="str">
        <f>IF(Tableau3384[[#This Row],[Méthode du paiement]]="Mastercard","OUI","")</f>
        <v/>
      </c>
      <c r="AA525" s="180" t="s">
        <v>30</v>
      </c>
      <c r="AB525" s="180" t="s">
        <v>710</v>
      </c>
    </row>
    <row r="526" spans="1:28" s="184" customFormat="1" hidden="1" x14ac:dyDescent="0.25">
      <c r="A526" s="182" t="s">
        <v>1280</v>
      </c>
      <c r="B526" s="185">
        <v>45505</v>
      </c>
      <c r="C526" s="185">
        <v>45509</v>
      </c>
      <c r="D526" s="186" t="s">
        <v>130</v>
      </c>
      <c r="E526" s="183">
        <v>70.25</v>
      </c>
      <c r="F526" s="195">
        <v>8.1</v>
      </c>
      <c r="G526" s="193"/>
      <c r="H526" s="136">
        <f>Tableau3384[[#This Row],[Montant
CHF]]+Tableau3384[[#This Row],[Abzug/Spesen
CHF]]</f>
        <v>70.25</v>
      </c>
      <c r="I526" s="188"/>
      <c r="J526" s="189"/>
      <c r="K526" s="189"/>
      <c r="L526" s="298"/>
      <c r="M526" s="194"/>
      <c r="N526" s="185">
        <v>45535</v>
      </c>
      <c r="O526" s="282" t="str">
        <f>IF(Tableau3384[[#This Row],[Date du paiement]]&gt;0,"",Tableau3384[[#This Row],[Montant
CHF]])</f>
        <v/>
      </c>
      <c r="P526" s="475" t="str">
        <f>IF(Tableau3384[[#This Row],[Date du paiement]]="",$B$4-Tableau3384[[#This Row],[Écheance]],"")</f>
        <v/>
      </c>
      <c r="Q526" s="168" t="str">
        <f>IF(Tableau3384[[#This Row],[Date du paiement]]="",IF(Tableau3384[[#This Row],[jours jusqu''à l''écheance]]&gt;0,Tableau3384[[#This Row],[Montant
CHF]],""),"")</f>
        <v/>
      </c>
      <c r="R526" s="298" t="str">
        <f>IF(Tableau3384[[#This Row],[Date du paiement]]="",IF(Tableau3384[[#This Row],[jours jusqu''à l''écheance]]-($B$4-$B$11-1)&gt;0,Tableau3384[[#This Row],[Montant
CHF]],""),"")</f>
        <v/>
      </c>
      <c r="S526" s="142"/>
      <c r="T526" s="168" t="str">
        <f>IF(Tableau3384[[#This Row],[Paiements prevus]]="oui",Tableau3384[[#This Row],[Montant prevu à payer CH]],"")</f>
        <v/>
      </c>
      <c r="U526" s="177"/>
      <c r="V526" s="192" t="s">
        <v>735</v>
      </c>
      <c r="W526" s="190"/>
      <c r="X526" s="187">
        <v>45537</v>
      </c>
      <c r="Y526" s="181" t="s">
        <v>58</v>
      </c>
      <c r="Z526" s="120" t="str">
        <f>IF(Tableau3384[[#This Row],[Méthode du paiement]]="Mastercard","OUI","")</f>
        <v/>
      </c>
      <c r="AA526" s="180" t="s">
        <v>30</v>
      </c>
      <c r="AB526" s="180" t="s">
        <v>709</v>
      </c>
    </row>
    <row r="527" spans="1:28" s="184" customFormat="1" hidden="1" x14ac:dyDescent="0.25">
      <c r="A527" s="182" t="s">
        <v>1304</v>
      </c>
      <c r="B527" s="185">
        <v>45505</v>
      </c>
      <c r="C527" s="185">
        <v>45509</v>
      </c>
      <c r="D527" s="186" t="s">
        <v>1303</v>
      </c>
      <c r="E527" s="183">
        <f>Tableau3384[[#This Row],[Montant
EUR]]*Tableau3384[[#This Row],[Taux 
de change]]</f>
        <v>132</v>
      </c>
      <c r="F527" s="195">
        <v>8.1</v>
      </c>
      <c r="G527" s="193"/>
      <c r="H527" s="136">
        <f>Tableau3384[[#This Row],[Montant
CHF]]+Tableau3384[[#This Row],[Abzug/Spesen
CHF]]</f>
        <v>132</v>
      </c>
      <c r="I527" s="188">
        <v>1</v>
      </c>
      <c r="J527" s="189">
        <v>132</v>
      </c>
      <c r="K527" s="189"/>
      <c r="L527" s="298"/>
      <c r="M527" s="194"/>
      <c r="N527" s="185">
        <v>45536</v>
      </c>
      <c r="O527" s="282" t="str">
        <f>IF(Tableau3384[[#This Row],[Date du paiement]]&gt;0,"",Tableau3384[[#This Row],[Montant
CHF]])</f>
        <v/>
      </c>
      <c r="P527" s="475" t="str">
        <f>IF(Tableau3384[[#This Row],[Date du paiement]]="",$B$4-Tableau3384[[#This Row],[Écheance]],"")</f>
        <v/>
      </c>
      <c r="Q527" s="168" t="str">
        <f>IF(Tableau3384[[#This Row],[Date du paiement]]="",IF(Tableau3384[[#This Row],[jours jusqu''à l''écheance]]&gt;0,Tableau3384[[#This Row],[Montant
CHF]],""),"")</f>
        <v/>
      </c>
      <c r="R527" s="298" t="str">
        <f>IF(Tableau3384[[#This Row],[Date du paiement]]="",IF(Tableau3384[[#This Row],[jours jusqu''à l''écheance]]-($B$4-$B$11-1)&gt;0,Tableau3384[[#This Row],[Montant
CHF]],""),"")</f>
        <v/>
      </c>
      <c r="S527" s="142"/>
      <c r="T527" s="168" t="str">
        <f>IF(Tableau3384[[#This Row],[Paiements prevus]]="oui",Tableau3384[[#This Row],[Montant prevu à payer CH]],"")</f>
        <v/>
      </c>
      <c r="U527" s="177"/>
      <c r="V527" s="192" t="s">
        <v>737</v>
      </c>
      <c r="W527" s="480" t="s">
        <v>1512</v>
      </c>
      <c r="X527" s="187">
        <v>45565</v>
      </c>
      <c r="Y527" s="181" t="s">
        <v>58</v>
      </c>
      <c r="Z527" s="120" t="str">
        <f>IF(Tableau3384[[#This Row],[Méthode du paiement]]="Mastercard","OUI","")</f>
        <v/>
      </c>
      <c r="AA527" s="180" t="s">
        <v>14</v>
      </c>
      <c r="AB527" s="180" t="s">
        <v>1302</v>
      </c>
    </row>
    <row r="528" spans="1:28" s="184" customFormat="1" hidden="1" x14ac:dyDescent="0.25">
      <c r="A528" s="182" t="s">
        <v>1305</v>
      </c>
      <c r="B528" s="185">
        <v>45505</v>
      </c>
      <c r="C528" s="185">
        <v>45516</v>
      </c>
      <c r="D528" s="186" t="s">
        <v>38</v>
      </c>
      <c r="E528" s="183">
        <v>43.2</v>
      </c>
      <c r="F528" s="195">
        <v>8.1</v>
      </c>
      <c r="G528" s="193"/>
      <c r="H528" s="136">
        <f>Tableau3384[[#This Row],[Montant
CHF]]+Tableau3384[[#This Row],[Abzug/Spesen
CHF]]</f>
        <v>43.2</v>
      </c>
      <c r="I528" s="188"/>
      <c r="J528" s="189"/>
      <c r="K528" s="189"/>
      <c r="L528" s="298"/>
      <c r="M528" s="194"/>
      <c r="N528" s="185">
        <v>45563</v>
      </c>
      <c r="O528" s="282" t="str">
        <f>IF(Tableau3384[[#This Row],[Date du paiement]]&gt;0,"",Tableau3384[[#This Row],[Montant
CHF]])</f>
        <v/>
      </c>
      <c r="P528" s="287" t="str">
        <f>IF(Tableau3384[[#This Row],[Date du paiement]]="",$B$4-Tableau3384[[#This Row],[Écheance]],"")</f>
        <v/>
      </c>
      <c r="Q528" s="168" t="str">
        <f>IF(Tableau3384[[#This Row],[Date du paiement]]="",IF(Tableau3384[[#This Row],[jours jusqu''à l''écheance]]&gt;0,Tableau3384[[#This Row],[Montant
CHF]],""),"")</f>
        <v/>
      </c>
      <c r="R528" s="298" t="str">
        <f>IF(Tableau3384[[#This Row],[Date du paiement]]="",IF(Tableau3384[[#This Row],[jours jusqu''à l''écheance]]-($B$4-$B$11-1)&gt;0,Tableau3384[[#This Row],[Montant
CHF]],""),"")</f>
        <v/>
      </c>
      <c r="S528" s="142"/>
      <c r="T528" s="168" t="str">
        <f>IF(Tableau3384[[#This Row],[Paiements prevus]]="oui",Tableau3384[[#This Row],[Montant prevu à payer CH]],"")</f>
        <v/>
      </c>
      <c r="U528" s="177"/>
      <c r="V528" s="192" t="s">
        <v>735</v>
      </c>
      <c r="W528" s="190"/>
      <c r="X528" s="187">
        <v>45565</v>
      </c>
      <c r="Y528" s="181" t="s">
        <v>58</v>
      </c>
      <c r="Z528" s="120" t="str">
        <f>IF(Tableau3384[[#This Row],[Méthode du paiement]]="Mastercard","OUI","")</f>
        <v/>
      </c>
      <c r="AA528" s="180" t="s">
        <v>39</v>
      </c>
      <c r="AB528" s="180" t="s">
        <v>1307</v>
      </c>
    </row>
    <row r="529" spans="1:28" s="184" customFormat="1" hidden="1" x14ac:dyDescent="0.25">
      <c r="A529" s="182" t="s">
        <v>1306</v>
      </c>
      <c r="B529" s="185">
        <v>45505</v>
      </c>
      <c r="C529" s="185">
        <v>45516</v>
      </c>
      <c r="D529" s="186" t="s">
        <v>38</v>
      </c>
      <c r="E529" s="183">
        <v>43.2</v>
      </c>
      <c r="F529" s="195">
        <v>8.1</v>
      </c>
      <c r="G529" s="193"/>
      <c r="H529" s="136">
        <f>Tableau3384[[#This Row],[Montant
CHF]]+Tableau3384[[#This Row],[Abzug/Spesen
CHF]]</f>
        <v>43.2</v>
      </c>
      <c r="I529" s="188"/>
      <c r="J529" s="189"/>
      <c r="K529" s="189"/>
      <c r="L529" s="298"/>
      <c r="M529" s="194"/>
      <c r="N529" s="185">
        <v>45563</v>
      </c>
      <c r="O529" s="282" t="str">
        <f>IF(Tableau3384[[#This Row],[Date du paiement]]&gt;0,"",Tableau3384[[#This Row],[Montant
CHF]])</f>
        <v/>
      </c>
      <c r="P529" s="287" t="str">
        <f>IF(Tableau3384[[#This Row],[Date du paiement]]="",$B$4-Tableau3384[[#This Row],[Écheance]],"")</f>
        <v/>
      </c>
      <c r="Q529" s="168" t="str">
        <f>IF(Tableau3384[[#This Row],[Date du paiement]]="",IF(Tableau3384[[#This Row],[jours jusqu''à l''écheance]]&gt;0,Tableau3384[[#This Row],[Montant
CHF]],""),"")</f>
        <v/>
      </c>
      <c r="R529" s="298" t="str">
        <f>IF(Tableau3384[[#This Row],[Date du paiement]]="",IF(Tableau3384[[#This Row],[jours jusqu''à l''écheance]]-($B$4-$B$11-1)&gt;0,Tableau3384[[#This Row],[Montant
CHF]],""),"")</f>
        <v/>
      </c>
      <c r="S529" s="142"/>
      <c r="T529" s="168" t="str">
        <f>IF(Tableau3384[[#This Row],[Paiements prevus]]="oui",Tableau3384[[#This Row],[Montant prevu à payer CH]],"")</f>
        <v/>
      </c>
      <c r="U529" s="177"/>
      <c r="V529" s="192" t="s">
        <v>735</v>
      </c>
      <c r="W529" s="444"/>
      <c r="X529" s="187">
        <v>45565</v>
      </c>
      <c r="Y529" s="181" t="s">
        <v>58</v>
      </c>
      <c r="Z529" s="120" t="str">
        <f>IF(Tableau3384[[#This Row],[Méthode du paiement]]="Mastercard","OUI","")</f>
        <v/>
      </c>
      <c r="AA529" s="180" t="s">
        <v>39</v>
      </c>
      <c r="AB529" s="180" t="s">
        <v>1308</v>
      </c>
    </row>
    <row r="530" spans="1:28" s="184" customFormat="1" hidden="1" x14ac:dyDescent="0.25">
      <c r="A530" s="182" t="s">
        <v>1397</v>
      </c>
      <c r="B530" s="185">
        <v>45506</v>
      </c>
      <c r="C530" s="185">
        <v>45509</v>
      </c>
      <c r="D530" s="186" t="s">
        <v>104</v>
      </c>
      <c r="E530" s="183">
        <v>1989.29</v>
      </c>
      <c r="F530" s="195">
        <v>8.1</v>
      </c>
      <c r="G530" s="193"/>
      <c r="H530" s="136">
        <f>Tableau3384[[#This Row],[Montant
CHF]]+Tableau3384[[#This Row],[Abzug/Spesen
CHF]]</f>
        <v>1989.29</v>
      </c>
      <c r="I530" s="188"/>
      <c r="J530" s="189"/>
      <c r="K530" s="189"/>
      <c r="L530" s="298"/>
      <c r="M530" s="194"/>
      <c r="N530" s="185">
        <v>45506</v>
      </c>
      <c r="O530" s="282" t="str">
        <f>IF(Tableau3384[[#This Row],[Date du paiement]]&gt;0,"",Tableau3384[[#This Row],[Montant
CHF]])</f>
        <v/>
      </c>
      <c r="P530" s="287" t="str">
        <f>IF(Tableau3384[[#This Row],[Date du paiement]]="",$B$4-Tableau3384[[#This Row],[Écheance]],"")</f>
        <v/>
      </c>
      <c r="Q530" s="168" t="str">
        <f>IF(Tableau3384[[#This Row],[Date du paiement]]="",IF(Tableau3384[[#This Row],[jours jusqu''à l''écheance]]&gt;0,Tableau3384[[#This Row],[Montant
CHF]],""),"")</f>
        <v/>
      </c>
      <c r="R530" s="298" t="str">
        <f>IF(Tableau3384[[#This Row],[Date du paiement]]="",IF(Tableau3384[[#This Row],[jours jusqu''à l''écheance]]&gt;0,Tableau3384[[#This Row],[Montant
CHF]],""),"")</f>
        <v/>
      </c>
      <c r="S530" s="142"/>
      <c r="T530" s="168" t="str">
        <f>IF(Tableau3384[[#This Row],[Paiements prevus]]="oui",Tableau3384[[#This Row],[Montant prevu à payer CH]],"")</f>
        <v/>
      </c>
      <c r="U530" s="177"/>
      <c r="V530" s="192" t="s">
        <v>799</v>
      </c>
      <c r="W530" s="190"/>
      <c r="X530" s="187">
        <v>45504</v>
      </c>
      <c r="Y530" s="181" t="s">
        <v>105</v>
      </c>
      <c r="Z530" s="120" t="str">
        <f>IF(Tableau3384[[#This Row],[Méthode du paiement]]="Mastercard","OUI","")</f>
        <v>OUI</v>
      </c>
      <c r="AA530" s="180" t="s">
        <v>14</v>
      </c>
      <c r="AB530" s="180" t="s">
        <v>1315</v>
      </c>
    </row>
    <row r="531" spans="1:28" s="184" customFormat="1" hidden="1" x14ac:dyDescent="0.25">
      <c r="A531" s="182" t="s">
        <v>1272</v>
      </c>
      <c r="B531" s="185">
        <v>45506</v>
      </c>
      <c r="C531" s="185">
        <v>45510</v>
      </c>
      <c r="D531" s="186" t="s">
        <v>50</v>
      </c>
      <c r="E531" s="183">
        <v>2422.6999999999998</v>
      </c>
      <c r="F531" s="195">
        <v>8.1</v>
      </c>
      <c r="G531" s="193"/>
      <c r="H531" s="136">
        <f>Tableau3384[[#This Row],[Montant
CHF]]+Tableau3384[[#This Row],[Abzug/Spesen
CHF]]</f>
        <v>2422.6999999999998</v>
      </c>
      <c r="I531" s="188"/>
      <c r="J531" s="189"/>
      <c r="K531" s="189"/>
      <c r="L531" s="298"/>
      <c r="M531" s="194"/>
      <c r="N531" s="185">
        <v>45535</v>
      </c>
      <c r="O531" s="282" t="str">
        <f>IF(Tableau3384[[#This Row],[Date du paiement]]&gt;0,"",Tableau3384[[#This Row],[Montant
CHF]])</f>
        <v/>
      </c>
      <c r="P531" s="287" t="str">
        <f>IF(Tableau3384[[#This Row],[Date du paiement]]="",$B$4-Tableau3384[[#This Row],[Écheance]],"")</f>
        <v/>
      </c>
      <c r="Q531" s="168" t="str">
        <f>IF(Tableau3384[[#This Row],[Date du paiement]]="",IF(Tableau3384[[#This Row],[jours jusqu''à l''écheance]]&gt;0,Tableau3384[[#This Row],[Montant
CHF]],""),"")</f>
        <v/>
      </c>
      <c r="R531" s="298" t="str">
        <f>IF(Tableau3384[[#This Row],[Date du paiement]]="",IF(Tableau3384[[#This Row],[jours jusqu''à l''écheance]]-($B$4-$B$11-1)&gt;0,Tableau3384[[#This Row],[Montant
CHF]],""),"")</f>
        <v/>
      </c>
      <c r="S531" s="142"/>
      <c r="T531" s="168" t="str">
        <f>IF(Tableau3384[[#This Row],[Paiements prevus]]="oui",Tableau3384[[#This Row],[Montant prevu à payer CH]],"")</f>
        <v/>
      </c>
      <c r="U531" s="177"/>
      <c r="V531" s="192" t="s">
        <v>735</v>
      </c>
      <c r="W531" s="190"/>
      <c r="X531" s="187">
        <v>45537</v>
      </c>
      <c r="Y531" s="181" t="s">
        <v>58</v>
      </c>
      <c r="Z531" s="120" t="str">
        <f>IF(Tableau3384[[#This Row],[Méthode du paiement]]="Mastercard","OUI","")</f>
        <v/>
      </c>
      <c r="AA531" s="180" t="s">
        <v>1431</v>
      </c>
      <c r="AB531" s="180" t="s">
        <v>709</v>
      </c>
    </row>
    <row r="532" spans="1:28" s="184" customFormat="1" hidden="1" x14ac:dyDescent="0.25">
      <c r="A532" s="182" t="s">
        <v>1279</v>
      </c>
      <c r="B532" s="185">
        <v>45507</v>
      </c>
      <c r="C532" s="185">
        <v>45510</v>
      </c>
      <c r="D532" s="186" t="s">
        <v>48</v>
      </c>
      <c r="E532" s="183">
        <v>47.45</v>
      </c>
      <c r="F532" s="195">
        <v>8.1</v>
      </c>
      <c r="G532" s="193"/>
      <c r="H532" s="136">
        <f>Tableau3384[[#This Row],[Montant
CHF]]+Tableau3384[[#This Row],[Abzug/Spesen
CHF]]</f>
        <v>47.45</v>
      </c>
      <c r="I532" s="188"/>
      <c r="J532" s="189"/>
      <c r="K532" s="189"/>
      <c r="L532" s="298"/>
      <c r="M532" s="194"/>
      <c r="N532" s="185">
        <v>45527</v>
      </c>
      <c r="O532" s="282" t="str">
        <f>IF(Tableau3384[[#This Row],[Date du paiement]]&gt;0,"",Tableau3384[[#This Row],[Montant
CHF]])</f>
        <v/>
      </c>
      <c r="P532" s="287" t="str">
        <f>IF(Tableau3384[[#This Row],[Date du paiement]]="",$B$4-Tableau3384[[#This Row],[Écheance]],"")</f>
        <v/>
      </c>
      <c r="Q532" s="168" t="str">
        <f>IF(Tableau3384[[#This Row],[Date du paiement]]="",IF(Tableau3384[[#This Row],[jours jusqu''à l''écheance]]&gt;0,Tableau3384[[#This Row],[Montant
CHF]],""),"")</f>
        <v/>
      </c>
      <c r="R532" s="298" t="str">
        <f>IF(Tableau3384[[#This Row],[Date du paiement]]="",IF(Tableau3384[[#This Row],[jours jusqu''à l''écheance]]-($B$4-$B$11-1)&gt;0,Tableau3384[[#This Row],[Montant
CHF]],""),"")</f>
        <v/>
      </c>
      <c r="S532" s="142"/>
      <c r="T532" s="168" t="str">
        <f>IF(Tableau3384[[#This Row],[Paiements prevus]]="oui",Tableau3384[[#This Row],[Montant prevu à payer CH]],"")</f>
        <v/>
      </c>
      <c r="U532" s="177"/>
      <c r="V532" s="192" t="s">
        <v>735</v>
      </c>
      <c r="W532" s="190"/>
      <c r="X532" s="187">
        <v>45537</v>
      </c>
      <c r="Y532" s="181" t="s">
        <v>58</v>
      </c>
      <c r="Z532" s="120" t="str">
        <f>IF(Tableau3384[[#This Row],[Méthode du paiement]]="Mastercard","OUI","")</f>
        <v/>
      </c>
      <c r="AA532" s="180" t="s">
        <v>39</v>
      </c>
      <c r="AB532" s="180" t="s">
        <v>709</v>
      </c>
    </row>
    <row r="533" spans="1:28" s="184" customFormat="1" hidden="1" x14ac:dyDescent="0.25">
      <c r="A533" s="182" t="s">
        <v>1314</v>
      </c>
      <c r="B533" s="185">
        <v>45509</v>
      </c>
      <c r="C533" s="185">
        <v>45509</v>
      </c>
      <c r="D533" s="186" t="s">
        <v>104</v>
      </c>
      <c r="E533" s="183">
        <v>1921.3</v>
      </c>
      <c r="F533" s="195">
        <v>8.1</v>
      </c>
      <c r="G533" s="193"/>
      <c r="H533" s="136">
        <f>Tableau3384[[#This Row],[Montant
CHF]]+Tableau3384[[#This Row],[Abzug/Spesen
CHF]]</f>
        <v>1921.3</v>
      </c>
      <c r="I533" s="188"/>
      <c r="J533" s="189"/>
      <c r="K533" s="189"/>
      <c r="L533" s="298"/>
      <c r="M533" s="194"/>
      <c r="N533" s="185">
        <v>45509</v>
      </c>
      <c r="O533" s="282" t="str">
        <f>IF(Tableau3384[[#This Row],[Date du paiement]]&gt;0,"",Tableau3384[[#This Row],[Montant
CHF]])</f>
        <v/>
      </c>
      <c r="P533" s="287" t="str">
        <f>IF(Tableau3384[[#This Row],[Date du paiement]]="",$B$4-Tableau3384[[#This Row],[Écheance]],"")</f>
        <v/>
      </c>
      <c r="Q533" s="168" t="str">
        <f>IF(Tableau3384[[#This Row],[Date du paiement]]="",IF(Tableau3384[[#This Row],[jours jusqu''à l''écheance]]&gt;0,Tableau3384[[#This Row],[Montant
CHF]],""),"")</f>
        <v/>
      </c>
      <c r="R533" s="298" t="str">
        <f>IF(Tableau3384[[#This Row],[Date du paiement]]="",IF(Tableau3384[[#This Row],[jours jusqu''à l''écheance]]&gt;0,Tableau3384[[#This Row],[Montant
CHF]],""),"")</f>
        <v/>
      </c>
      <c r="S533" s="142"/>
      <c r="T533" s="168" t="str">
        <f>IF(Tableau3384[[#This Row],[Paiements prevus]]="oui",Tableau3384[[#This Row],[Montant prevu à payer CH]],"")</f>
        <v/>
      </c>
      <c r="U533" s="177"/>
      <c r="V533" s="192" t="s">
        <v>799</v>
      </c>
      <c r="W533" s="190"/>
      <c r="X533" s="187">
        <v>45491</v>
      </c>
      <c r="Y533" s="181" t="s">
        <v>105</v>
      </c>
      <c r="Z533" s="120" t="str">
        <f>IF(Tableau3384[[#This Row],[Méthode du paiement]]="Mastercard","OUI","")</f>
        <v>OUI</v>
      </c>
      <c r="AA533" s="180" t="s">
        <v>14</v>
      </c>
      <c r="AB533" s="180" t="s">
        <v>1316</v>
      </c>
    </row>
    <row r="534" spans="1:28" s="184" customFormat="1" hidden="1" x14ac:dyDescent="0.25">
      <c r="A534" s="182" t="s">
        <v>1275</v>
      </c>
      <c r="B534" s="185">
        <v>45510</v>
      </c>
      <c r="C534" s="185">
        <v>45510</v>
      </c>
      <c r="D534" s="186" t="s">
        <v>22</v>
      </c>
      <c r="E534" s="183">
        <v>1318.8</v>
      </c>
      <c r="F534" s="195">
        <v>8.1</v>
      </c>
      <c r="G534" s="193"/>
      <c r="H534" s="136">
        <f>Tableau3384[[#This Row],[Montant
CHF]]+Tableau3384[[#This Row],[Abzug/Spesen
CHF]]</f>
        <v>1318.8</v>
      </c>
      <c r="I534" s="188"/>
      <c r="J534" s="189"/>
      <c r="K534" s="189"/>
      <c r="L534" s="298"/>
      <c r="M534" s="194"/>
      <c r="N534" s="43">
        <v>45540</v>
      </c>
      <c r="O534" s="282" t="str">
        <f>IF(Tableau3384[[#This Row],[Date du paiement]]&gt;0,"",Tableau3384[[#This Row],[Montant
CHF]])</f>
        <v/>
      </c>
      <c r="P534" s="287" t="str">
        <f>IF(Tableau3384[[#This Row],[Date du paiement]]="",$B$4-Tableau3384[[#This Row],[Écheance]],"")</f>
        <v/>
      </c>
      <c r="Q534" s="168" t="str">
        <f>IF(Tableau3384[[#This Row],[Date du paiement]]="",IF(Tableau3384[[#This Row],[jours jusqu''à l''écheance]]&gt;0,Tableau3384[[#This Row],[Montant
CHF]],""),"")</f>
        <v/>
      </c>
      <c r="R534" s="298" t="str">
        <f>IF(Tableau3384[[#This Row],[Date du paiement]]="",IF(Tableau3384[[#This Row],[jours jusqu''à l''écheance]]-($B$4-$B$11-1)&gt;0,Tableau3384[[#This Row],[Montant
CHF]],""),"")</f>
        <v/>
      </c>
      <c r="S534" s="142"/>
      <c r="T534" s="168" t="str">
        <f>IF(Tableau3384[[#This Row],[Paiements prevus]]="oui",Tableau3384[[#This Row],[Montant prevu à payer CH]],"")</f>
        <v/>
      </c>
      <c r="U534" s="177"/>
      <c r="V534" s="192" t="s">
        <v>738</v>
      </c>
      <c r="W534" s="190"/>
      <c r="X534" s="187">
        <v>45540</v>
      </c>
      <c r="Y534" s="181" t="s">
        <v>58</v>
      </c>
      <c r="Z534" s="120" t="str">
        <f>IF(Tableau3384[[#This Row],[Méthode du paiement]]="Mastercard","OUI","")</f>
        <v/>
      </c>
      <c r="AA534" s="180" t="s">
        <v>14</v>
      </c>
      <c r="AB534" s="180" t="s">
        <v>1276</v>
      </c>
    </row>
    <row r="535" spans="1:28" s="184" customFormat="1" hidden="1" x14ac:dyDescent="0.25">
      <c r="A535" s="182" t="s">
        <v>1277</v>
      </c>
      <c r="B535" s="185">
        <v>45510</v>
      </c>
      <c r="C535" s="185">
        <v>45510</v>
      </c>
      <c r="D535" s="186" t="s">
        <v>25</v>
      </c>
      <c r="E535" s="183">
        <v>40</v>
      </c>
      <c r="F535" s="195">
        <v>0</v>
      </c>
      <c r="G535" s="193"/>
      <c r="H535" s="136">
        <f>Tableau3384[[#This Row],[Montant
CHF]]+Tableau3384[[#This Row],[Abzug/Spesen
CHF]]</f>
        <v>40</v>
      </c>
      <c r="I535" s="188"/>
      <c r="J535" s="189"/>
      <c r="K535" s="189"/>
      <c r="L535" s="298"/>
      <c r="M535" s="194"/>
      <c r="N535" s="185">
        <v>45530</v>
      </c>
      <c r="O535" s="282" t="str">
        <f>IF(Tableau3384[[#This Row],[Date du paiement]]&gt;0,"",Tableau3384[[#This Row],[Montant
CHF]])</f>
        <v/>
      </c>
      <c r="P535" s="287" t="str">
        <f>IF(Tableau3384[[#This Row],[Date du paiement]]="",$B$4-Tableau3384[[#This Row],[Écheance]],"")</f>
        <v/>
      </c>
      <c r="Q535" s="168" t="str">
        <f>IF(Tableau3384[[#This Row],[Date du paiement]]="",IF(Tableau3384[[#This Row],[jours jusqu''à l''écheance]]&gt;0,Tableau3384[[#This Row],[Montant
CHF]],""),"")</f>
        <v/>
      </c>
      <c r="R535" s="298" t="str">
        <f>IF(Tableau3384[[#This Row],[Date du paiement]]="",IF(Tableau3384[[#This Row],[jours jusqu''à l''écheance]]-($B$4-$B$11-1)&gt;0,Tableau3384[[#This Row],[Montant
CHF]],""),"")</f>
        <v/>
      </c>
      <c r="S535" s="142"/>
      <c r="T535" s="168" t="str">
        <f>IF(Tableau3384[[#This Row],[Paiements prevus]]="oui",Tableau3384[[#This Row],[Montant prevu à payer CH]],"")</f>
        <v/>
      </c>
      <c r="U535" s="177"/>
      <c r="V535" s="192" t="s">
        <v>738</v>
      </c>
      <c r="W535" s="190"/>
      <c r="X535" s="187">
        <v>45541</v>
      </c>
      <c r="Y535" s="181" t="s">
        <v>58</v>
      </c>
      <c r="Z535" s="120" t="str">
        <f>IF(Tableau3384[[#This Row],[Méthode du paiement]]="Mastercard","OUI","")</f>
        <v/>
      </c>
      <c r="AA535" s="180" t="s">
        <v>26</v>
      </c>
      <c r="AB535" s="180" t="s">
        <v>1278</v>
      </c>
    </row>
    <row r="536" spans="1:28" s="184" customFormat="1" hidden="1" x14ac:dyDescent="0.25">
      <c r="A536" s="182" t="s">
        <v>1317</v>
      </c>
      <c r="B536" s="185">
        <v>45510</v>
      </c>
      <c r="C536" s="185">
        <v>45511</v>
      </c>
      <c r="D536" s="186" t="s">
        <v>117</v>
      </c>
      <c r="E536" s="183">
        <f>Tableau3384[[#This Row],[Montant
EUR]]*Tableau3384[[#This Row],[Taux 
de change]]</f>
        <v>1503.510307</v>
      </c>
      <c r="F536" s="195">
        <v>0</v>
      </c>
      <c r="G536" s="193"/>
      <c r="H536" s="136">
        <f>Tableau3384[[#This Row],[Montant
CHF]]+Tableau3384[[#This Row],[Abzug/Spesen
CHF]]</f>
        <v>1503.510307</v>
      </c>
      <c r="I536" s="188">
        <v>0.93910700000000003</v>
      </c>
      <c r="J536" s="189">
        <v>1601</v>
      </c>
      <c r="K536" s="189"/>
      <c r="L536" s="298"/>
      <c r="M536" s="194"/>
      <c r="N536" s="439">
        <v>45540</v>
      </c>
      <c r="O536" s="282" t="str">
        <f>IF(Tableau3384[[#This Row],[Date du paiement]]&gt;0,"",Tableau3384[[#This Row],[Montant
CHF]])</f>
        <v/>
      </c>
      <c r="P536" s="287" t="str">
        <f>IF(Tableau3384[[#This Row],[Date du paiement]]="",$B$4-Tableau3384[[#This Row],[Écheance]],"")</f>
        <v/>
      </c>
      <c r="Q536" s="168" t="str">
        <f>IF(Tableau3384[[#This Row],[Date du paiement]]="",IF(Tableau3384[[#This Row],[jours jusqu''à l''écheance]]&gt;0,Tableau3384[[#This Row],[Montant
CHF]],""),"")</f>
        <v/>
      </c>
      <c r="R536" s="298" t="str">
        <f>IF(Tableau3384[[#This Row],[Date du paiement]]="",IF(Tableau3384[[#This Row],[jours jusqu''à l''écheance]]-($B$4-$B$11-1)&gt;0,Tableau3384[[#This Row],[Montant
CHF]],""),"")</f>
        <v/>
      </c>
      <c r="S536" s="142"/>
      <c r="T536" s="168" t="str">
        <f>IF(Tableau3384[[#This Row],[Paiements prevus]]="oui",Tableau3384[[#This Row],[Montant prevu à payer CH]],"")</f>
        <v/>
      </c>
      <c r="U536" s="177"/>
      <c r="V536" s="192" t="s">
        <v>737</v>
      </c>
      <c r="W536" s="190"/>
      <c r="X536" s="187">
        <v>45541</v>
      </c>
      <c r="Y536" s="181" t="s">
        <v>58</v>
      </c>
      <c r="Z536" s="120" t="str">
        <f>IF(Tableau3384[[#This Row],[Méthode du paiement]]="Mastercard","OUI","")</f>
        <v/>
      </c>
      <c r="AA536" s="180" t="s">
        <v>14</v>
      </c>
      <c r="AB536" s="180" t="s">
        <v>1319</v>
      </c>
    </row>
    <row r="537" spans="1:28" s="184" customFormat="1" hidden="1" x14ac:dyDescent="0.25">
      <c r="A537" s="182" t="s">
        <v>1297</v>
      </c>
      <c r="B537" s="185">
        <v>45510</v>
      </c>
      <c r="C537" s="185">
        <v>45512</v>
      </c>
      <c r="D537" s="186" t="s">
        <v>777</v>
      </c>
      <c r="E537" s="478">
        <v>-80.849999999999994</v>
      </c>
      <c r="F537" s="195">
        <v>8.1</v>
      </c>
      <c r="G537" s="193"/>
      <c r="H537" s="136">
        <f>Tableau3384[[#This Row],[Montant
CHF]]+Tableau3384[[#This Row],[Abzug/Spesen
CHF]]</f>
        <v>-80.849999999999994</v>
      </c>
      <c r="I537" s="188"/>
      <c r="J537" s="189"/>
      <c r="K537" s="189"/>
      <c r="L537" s="298"/>
      <c r="M537" s="194" t="s">
        <v>1298</v>
      </c>
      <c r="N537" s="185">
        <v>45510</v>
      </c>
      <c r="O537" s="282" t="str">
        <f>IF(Tableau3384[[#This Row],[Date du paiement]]&gt;0,"",Tableau3384[[#This Row],[Montant
CHF]])</f>
        <v/>
      </c>
      <c r="P537" s="287" t="str">
        <f>IF(Tableau3384[[#This Row],[Date du paiement]]="",$B$4-Tableau3384[[#This Row],[Écheance]],"")</f>
        <v/>
      </c>
      <c r="Q537" s="168" t="str">
        <f>IF(Tableau3384[[#This Row],[Date du paiement]]="",IF(Tableau3384[[#This Row],[jours jusqu''à l''écheance]]&gt;0,Tableau3384[[#This Row],[Montant
CHF]],""),"")</f>
        <v/>
      </c>
      <c r="R537" s="298" t="str">
        <f>IF(Tableau3384[[#This Row],[Date du paiement]]="",IF(Tableau3384[[#This Row],[jours jusqu''à l''écheance]]-($B$4-$B$11-1)&gt;0,Tableau3384[[#This Row],[Montant
CHF]],""),"")</f>
        <v/>
      </c>
      <c r="S537" s="142"/>
      <c r="T537" s="168" t="str">
        <f>IF(Tableau3384[[#This Row],[Paiements prevus]]="oui",Tableau3384[[#This Row],[Montant prevu à payer CH]],"")</f>
        <v/>
      </c>
      <c r="U537" s="177"/>
      <c r="V537" s="192"/>
      <c r="W537" s="190"/>
      <c r="X537" s="187">
        <v>45510</v>
      </c>
      <c r="Y537" s="181" t="s">
        <v>1375</v>
      </c>
      <c r="Z537" s="120" t="str">
        <f>IF(Tableau3384[[#This Row],[Méthode du paiement]]="Mastercard","OUI","")</f>
        <v/>
      </c>
      <c r="AA537" s="180" t="s">
        <v>14</v>
      </c>
      <c r="AB537" s="180" t="s">
        <v>1395</v>
      </c>
    </row>
    <row r="538" spans="1:28" s="184" customFormat="1" hidden="1" x14ac:dyDescent="0.25">
      <c r="A538" s="182" t="s">
        <v>1393</v>
      </c>
      <c r="B538" s="185">
        <v>45510</v>
      </c>
      <c r="C538" s="185">
        <v>45530</v>
      </c>
      <c r="D538" s="186" t="s">
        <v>777</v>
      </c>
      <c r="E538" s="183">
        <v>80.849999999999994</v>
      </c>
      <c r="F538" s="195">
        <v>8.1</v>
      </c>
      <c r="G538" s="193"/>
      <c r="H538" s="136">
        <f>Tableau3384[[#This Row],[Montant
CHF]]+Tableau3384[[#This Row],[Abzug/Spesen
CHF]]</f>
        <v>80.849999999999994</v>
      </c>
      <c r="I538" s="188"/>
      <c r="J538" s="189"/>
      <c r="K538" s="189"/>
      <c r="L538" s="298"/>
      <c r="M538" s="194" t="s">
        <v>1394</v>
      </c>
      <c r="N538" s="185">
        <v>45510</v>
      </c>
      <c r="O538" s="282" t="str">
        <f>IF(Tableau3384[[#This Row],[Date du paiement]]&gt;0,"",Tableau3384[[#This Row],[Montant
CHF]])</f>
        <v/>
      </c>
      <c r="P538" s="287" t="str">
        <f>IF(Tableau3384[[#This Row],[Date du paiement]]="",$B$4-Tableau3384[[#This Row],[Écheance]],"")</f>
        <v/>
      </c>
      <c r="Q538" s="168" t="str">
        <f>IF(Tableau3384[[#This Row],[Date du paiement]]="",IF(Tableau3384[[#This Row],[jours jusqu''à l''écheance]]&gt;0,Tableau3384[[#This Row],[Montant
CHF]],""),"")</f>
        <v/>
      </c>
      <c r="R538" s="298" t="str">
        <f>IF(Tableau3384[[#This Row],[Date du paiement]]="",IF(Tableau3384[[#This Row],[jours jusqu''à l''écheance]]&gt;0,Tableau3384[[#This Row],[Montant
CHF]],""),"")</f>
        <v/>
      </c>
      <c r="S538" s="142"/>
      <c r="T538" s="168" t="str">
        <f>IF(Tableau3384[[#This Row],[Paiements prevus]]="oui",Tableau3384[[#This Row],[Montant prevu à payer CH]],"")</f>
        <v/>
      </c>
      <c r="U538" s="177"/>
      <c r="V538" s="192"/>
      <c r="W538" s="190"/>
      <c r="X538" s="187">
        <v>45510</v>
      </c>
      <c r="Y538" s="181" t="s">
        <v>1375</v>
      </c>
      <c r="Z538" s="120" t="str">
        <f>IF(Tableau3384[[#This Row],[Méthode du paiement]]="Mastercard","OUI","")</f>
        <v/>
      </c>
      <c r="AA538" s="180" t="s">
        <v>14</v>
      </c>
      <c r="AB538" s="180" t="s">
        <v>1395</v>
      </c>
    </row>
    <row r="539" spans="1:28" s="184" customFormat="1" hidden="1" x14ac:dyDescent="0.25">
      <c r="A539" s="182" t="s">
        <v>1329</v>
      </c>
      <c r="B539" s="185">
        <v>45510</v>
      </c>
      <c r="C539" s="185">
        <v>45517</v>
      </c>
      <c r="D539" s="186" t="s">
        <v>1330</v>
      </c>
      <c r="E539" s="438">
        <v>207.9</v>
      </c>
      <c r="F539" s="195">
        <v>8.1</v>
      </c>
      <c r="G539" s="193"/>
      <c r="H539" s="136">
        <f>Tableau3384[[#This Row],[Montant
CHF]]+Tableau3384[[#This Row],[Abzug/Spesen
CHF]]</f>
        <v>207.9</v>
      </c>
      <c r="I539" s="188"/>
      <c r="J539" s="189"/>
      <c r="K539" s="189"/>
      <c r="L539" s="298"/>
      <c r="M539" s="194"/>
      <c r="N539" s="185">
        <v>45541</v>
      </c>
      <c r="O539" s="282" t="str">
        <f>IF(Tableau3384[[#This Row],[Date du paiement]]&gt;0,"",Tableau3384[[#This Row],[Montant
CHF]])</f>
        <v/>
      </c>
      <c r="P539" s="287" t="str">
        <f>IF(Tableau3384[[#This Row],[Date du paiement]]="",$B$4-Tableau3384[[#This Row],[Écheance]],"")</f>
        <v/>
      </c>
      <c r="Q539" s="168" t="str">
        <f>IF(Tableau3384[[#This Row],[Date du paiement]]="",IF(Tableau3384[[#This Row],[jours jusqu''à l''écheance]]&gt;0,Tableau3384[[#This Row],[Montant
CHF]],""),"")</f>
        <v/>
      </c>
      <c r="R539" s="298" t="str">
        <f>IF(Tableau3384[[#This Row],[Date du paiement]]="",IF(Tableau3384[[#This Row],[jours jusqu''à l''écheance]]-($B$4-$B$11-1)&gt;0,Tableau3384[[#This Row],[Montant
CHF]],""),"")</f>
        <v/>
      </c>
      <c r="S539" s="142"/>
      <c r="T539" s="168" t="str">
        <f>IF(Tableau3384[[#This Row],[Paiements prevus]]="oui",Tableau3384[[#This Row],[Montant prevu à payer CH]],"")</f>
        <v/>
      </c>
      <c r="U539" s="177"/>
      <c r="V539" s="192" t="s">
        <v>738</v>
      </c>
      <c r="W539" s="480" t="s">
        <v>1512</v>
      </c>
      <c r="X539" s="187">
        <v>45565</v>
      </c>
      <c r="Y539" s="181" t="s">
        <v>58</v>
      </c>
      <c r="Z539" s="120" t="str">
        <f>IF(Tableau3384[[#This Row],[Méthode du paiement]]="Mastercard","OUI","")</f>
        <v/>
      </c>
      <c r="AA539" s="180" t="s">
        <v>14</v>
      </c>
      <c r="AB539" s="180" t="s">
        <v>1302</v>
      </c>
    </row>
    <row r="540" spans="1:28" s="184" customFormat="1" hidden="1" x14ac:dyDescent="0.25">
      <c r="A540" s="182" t="s">
        <v>1321</v>
      </c>
      <c r="B540" s="185">
        <v>45511</v>
      </c>
      <c r="C540" s="185">
        <v>45512</v>
      </c>
      <c r="D540" s="186" t="s">
        <v>216</v>
      </c>
      <c r="E540" s="183">
        <v>1524.1</v>
      </c>
      <c r="F540" s="195">
        <v>100</v>
      </c>
      <c r="G540" s="193"/>
      <c r="H540" s="136">
        <f>Tableau3384[[#This Row],[Montant
CHF]]+Tableau3384[[#This Row],[Abzug/Spesen
CHF]]</f>
        <v>1524.1</v>
      </c>
      <c r="I540" s="188"/>
      <c r="J540" s="189"/>
      <c r="K540" s="189"/>
      <c r="L540" s="298"/>
      <c r="M540" s="194"/>
      <c r="N540" s="185">
        <v>45572</v>
      </c>
      <c r="O540" s="282" t="str">
        <f>IF(Tableau3384[[#This Row],[Date du paiement]]&gt;0,"",Tableau3384[[#This Row],[Montant
CHF]])</f>
        <v/>
      </c>
      <c r="P540" s="287" t="str">
        <f>IF(Tableau3384[[#This Row],[Date du paiement]]="",$B$4-Tableau3384[[#This Row],[Écheance]],"")</f>
        <v/>
      </c>
      <c r="Q540" s="168" t="str">
        <f>IF(Tableau3384[[#This Row],[Date du paiement]]="",IF(Tableau3384[[#This Row],[jours jusqu''à l''écheance]]&gt;0,Tableau3384[[#This Row],[Montant
CHF]],""),"")</f>
        <v/>
      </c>
      <c r="R540" s="298" t="str">
        <f>IF(Tableau3384[[#This Row],[Date du paiement]]="",IF(Tableau3384[[#This Row],[jours jusqu''à l''écheance]]-($B$4-$B$11-1)&gt;0,Tableau3384[[#This Row],[Montant
CHF]],""),"")</f>
        <v/>
      </c>
      <c r="S540" s="142"/>
      <c r="T540" s="168" t="str">
        <f>IF(Tableau3384[[#This Row],[Paiements prevus]]="oui",Tableau3384[[#This Row],[Montant prevu à payer CH]],"")</f>
        <v/>
      </c>
      <c r="U540" s="177"/>
      <c r="V540" s="192" t="s">
        <v>736</v>
      </c>
      <c r="W540" s="190"/>
      <c r="X540" s="187">
        <v>45572</v>
      </c>
      <c r="Y540" s="181" t="s">
        <v>58</v>
      </c>
      <c r="Z540" s="120" t="str">
        <f>IF(Tableau3384[[#This Row],[Méthode du paiement]]="Mastercard","OUI","")</f>
        <v/>
      </c>
      <c r="AA540" s="180" t="s">
        <v>604</v>
      </c>
      <c r="AB540" s="180" t="s">
        <v>1322</v>
      </c>
    </row>
    <row r="541" spans="1:28" s="184" customFormat="1" hidden="1" x14ac:dyDescent="0.25">
      <c r="A541" s="182" t="s">
        <v>1309</v>
      </c>
      <c r="B541" s="185">
        <v>45511</v>
      </c>
      <c r="C541" s="185">
        <v>45516</v>
      </c>
      <c r="D541" s="186" t="s">
        <v>1059</v>
      </c>
      <c r="E541" s="183">
        <v>3218.95</v>
      </c>
      <c r="F541" s="195">
        <v>2.6</v>
      </c>
      <c r="G541" s="193"/>
      <c r="H541" s="136">
        <f>Tableau3384[[#This Row],[Montant
CHF]]+Tableau3384[[#This Row],[Abzug/Spesen
CHF]]</f>
        <v>3218.95</v>
      </c>
      <c r="I541" s="188"/>
      <c r="J541" s="189"/>
      <c r="K541" s="189"/>
      <c r="L541" s="298"/>
      <c r="M541" s="194"/>
      <c r="N541" s="185">
        <v>45542</v>
      </c>
      <c r="O541" s="282" t="str">
        <f>IF(Tableau3384[[#This Row],[Date du paiement]]&gt;0,"",Tableau3384[[#This Row],[Montant
CHF]])</f>
        <v/>
      </c>
      <c r="P541" s="287" t="str">
        <f>IF(Tableau3384[[#This Row],[Date du paiement]]="",$B$4-Tableau3384[[#This Row],[Écheance]],"")</f>
        <v/>
      </c>
      <c r="Q541" s="168" t="str">
        <f>IF(Tableau3384[[#This Row],[Date du paiement]]="",IF(Tableau3384[[#This Row],[jours jusqu''à l''écheance]]&gt;0,Tableau3384[[#This Row],[Montant
CHF]],""),"")</f>
        <v/>
      </c>
      <c r="R541" s="298" t="str">
        <f>IF(Tableau3384[[#This Row],[Date du paiement]]="",IF(Tableau3384[[#This Row],[jours jusqu''à l''écheance]]-($B$4-$B$11-1)&gt;0,Tableau3384[[#This Row],[Montant
CHF]],""),"")</f>
        <v/>
      </c>
      <c r="S541" s="142"/>
      <c r="T541" s="168" t="str">
        <f>IF(Tableau3384[[#This Row],[Paiements prevus]]="oui",Tableau3384[[#This Row],[Montant prevu à payer CH]],"")</f>
        <v/>
      </c>
      <c r="U541" s="177"/>
      <c r="V541" s="192" t="s">
        <v>738</v>
      </c>
      <c r="W541" s="444"/>
      <c r="X541" s="187">
        <v>45544</v>
      </c>
      <c r="Y541" s="181" t="s">
        <v>58</v>
      </c>
      <c r="Z541" s="120" t="str">
        <f>IF(Tableau3384[[#This Row],[Méthode du paiement]]="Mastercard","OUI","")</f>
        <v/>
      </c>
      <c r="AA541" s="180" t="s">
        <v>14</v>
      </c>
      <c r="AB541" s="180" t="s">
        <v>1313</v>
      </c>
    </row>
    <row r="542" spans="1:28" s="184" customFormat="1" hidden="1" x14ac:dyDescent="0.25">
      <c r="A542" s="156" t="s">
        <v>129</v>
      </c>
      <c r="B542" s="185">
        <v>45512</v>
      </c>
      <c r="C542" s="185">
        <v>45510</v>
      </c>
      <c r="D542" s="157" t="s">
        <v>87</v>
      </c>
      <c r="E542" s="183">
        <v>4715</v>
      </c>
      <c r="F542" s="195">
        <v>0</v>
      </c>
      <c r="G542" s="193"/>
      <c r="H542" s="136">
        <f>Tableau3384[[#This Row],[Montant
CHF]]+Tableau3384[[#This Row],[Abzug/Spesen
CHF]]</f>
        <v>4715</v>
      </c>
      <c r="I542" s="188"/>
      <c r="J542" s="189"/>
      <c r="K542" s="189"/>
      <c r="L542" s="298"/>
      <c r="M542" s="194"/>
      <c r="N542" s="185">
        <v>45540</v>
      </c>
      <c r="O542" s="282" t="str">
        <f>IF(Tableau3384[[#This Row],[Date du paiement]]&gt;0,"",Tableau3384[[#This Row],[Montant
CHF]])</f>
        <v/>
      </c>
      <c r="P542" s="287" t="str">
        <f>IF(Tableau3384[[#This Row],[Date du paiement]]="",$B$4-Tableau3384[[#This Row],[Écheance]],"")</f>
        <v/>
      </c>
      <c r="Q542" s="168" t="str">
        <f>IF(Tableau3384[[#This Row],[Date du paiement]]="",IF(Tableau3384[[#This Row],[jours jusqu''à l''écheance]]&gt;0,Tableau3384[[#This Row],[Montant
CHF]],""),"")</f>
        <v/>
      </c>
      <c r="R542" s="298" t="str">
        <f>IF(Tableau3384[[#This Row],[Date du paiement]]="",IF(Tableau3384[[#This Row],[jours jusqu''à l''écheance]]-($B$4-$B$11-1)&gt;0,Tableau3384[[#This Row],[Montant
CHF]],""),"")</f>
        <v/>
      </c>
      <c r="S542" s="142"/>
      <c r="T542" s="168" t="str">
        <f>IF(Tableau3384[[#This Row],[Paiements prevus]]="oui",Tableau3384[[#This Row],[Montant prevu à payer CH]],"")</f>
        <v/>
      </c>
      <c r="U542" s="177"/>
      <c r="V542" s="192" t="s">
        <v>739</v>
      </c>
      <c r="W542" s="190"/>
      <c r="X542" s="187">
        <v>45540</v>
      </c>
      <c r="Y542" s="181" t="s">
        <v>58</v>
      </c>
      <c r="Z542" s="120" t="str">
        <f>IF(Tableau3384[[#This Row],[Méthode du paiement]]="Mastercard","OUI","")</f>
        <v/>
      </c>
      <c r="AA542" s="180" t="s">
        <v>4</v>
      </c>
      <c r="AB542" s="180" t="s">
        <v>710</v>
      </c>
    </row>
    <row r="543" spans="1:28" s="337" customFormat="1" hidden="1" x14ac:dyDescent="0.25">
      <c r="A543" s="182" t="s">
        <v>1311</v>
      </c>
      <c r="B543" s="185">
        <v>45512</v>
      </c>
      <c r="C543" s="185">
        <v>45512</v>
      </c>
      <c r="D543" s="186" t="s">
        <v>807</v>
      </c>
      <c r="E543" s="478">
        <v>-5405</v>
      </c>
      <c r="F543" s="195">
        <v>8.1</v>
      </c>
      <c r="G543" s="193"/>
      <c r="H543" s="136">
        <f>Tableau3384[[#This Row],[Montant
CHF]]+Tableau3384[[#This Row],[Abzug/Spesen
CHF]]</f>
        <v>-5405</v>
      </c>
      <c r="I543" s="188"/>
      <c r="J543" s="189"/>
      <c r="K543" s="189"/>
      <c r="L543" s="298"/>
      <c r="M543" s="194" t="s">
        <v>1312</v>
      </c>
      <c r="N543" s="185">
        <v>45512</v>
      </c>
      <c r="O543" s="282" t="str">
        <f>IF(Tableau3384[[#This Row],[Date du paiement]]&gt;0,"",Tableau3384[[#This Row],[Montant
CHF]])</f>
        <v/>
      </c>
      <c r="P543" s="287" t="str">
        <f>IF(Tableau3384[[#This Row],[Date du paiement]]="",$B$4-Tableau3384[[#This Row],[Écheance]],"")</f>
        <v/>
      </c>
      <c r="Q543" s="168" t="str">
        <f>IF(Tableau3384[[#This Row],[Date du paiement]]="",IF(Tableau3384[[#This Row],[jours jusqu''à l''écheance]]&gt;0,Tableau3384[[#This Row],[Montant
CHF]],""),"")</f>
        <v/>
      </c>
      <c r="R543" s="298" t="str">
        <f>IF(Tableau3384[[#This Row],[Date du paiement]]="",IF(Tableau3384[[#This Row],[jours jusqu''à l''écheance]]-($B$4-$B$11-1)&gt;0,Tableau3384[[#This Row],[Montant
CHF]],""),"")</f>
        <v/>
      </c>
      <c r="S543" s="142"/>
      <c r="T543" s="168" t="str">
        <f>IF(Tableau3384[[#This Row],[Paiements prevus]]="oui",Tableau3384[[#This Row],[Montant prevu à payer CH]],"")</f>
        <v/>
      </c>
      <c r="U543" s="177"/>
      <c r="V543" s="192" t="s">
        <v>738</v>
      </c>
      <c r="W543" s="190"/>
      <c r="X543" s="187">
        <v>45512</v>
      </c>
      <c r="Y543" s="181" t="s">
        <v>1375</v>
      </c>
      <c r="Z543" s="120" t="str">
        <f>IF(Tableau3384[[#This Row],[Méthode du paiement]]="Mastercard","OUI","")</f>
        <v/>
      </c>
      <c r="AA543" s="180" t="s">
        <v>14</v>
      </c>
      <c r="AB543" s="180" t="s">
        <v>809</v>
      </c>
    </row>
    <row r="544" spans="1:28" s="184" customFormat="1" hidden="1" x14ac:dyDescent="0.25">
      <c r="A544" s="437" t="s">
        <v>1310</v>
      </c>
      <c r="B544" s="185">
        <v>45513</v>
      </c>
      <c r="C544" s="185">
        <v>45516</v>
      </c>
      <c r="D544" s="440" t="s">
        <v>35</v>
      </c>
      <c r="E544" s="183">
        <v>4640.95</v>
      </c>
      <c r="F544" s="195">
        <v>0</v>
      </c>
      <c r="G544" s="193"/>
      <c r="H544" s="136">
        <f>Tableau3384[[#This Row],[Montant
CHF]]+Tableau3384[[#This Row],[Abzug/Spesen
CHF]]</f>
        <v>4640.95</v>
      </c>
      <c r="I544" s="188"/>
      <c r="J544" s="189"/>
      <c r="K544" s="189"/>
      <c r="L544" s="298"/>
      <c r="M544" s="194" t="s">
        <v>1530</v>
      </c>
      <c r="N544" s="185">
        <v>45545</v>
      </c>
      <c r="O544" s="282" t="str">
        <f>IF(Tableau3384[[#This Row],[Date du paiement]]&gt;0,"",Tableau3384[[#This Row],[Montant
CHF]])</f>
        <v/>
      </c>
      <c r="P544" s="287" t="str">
        <f>IF(Tableau3384[[#This Row],[Date du paiement]]="",$B$4-Tableau3384[[#This Row],[Écheance]],"")</f>
        <v/>
      </c>
      <c r="Q544" s="168" t="str">
        <f>IF(Tableau3384[[#This Row],[Date du paiement]]="",IF(Tableau3384[[#This Row],[jours jusqu''à l''écheance]]&gt;0,Tableau3384[[#This Row],[Montant
CHF]],""),"")</f>
        <v/>
      </c>
      <c r="R544" s="298" t="str">
        <f>IF(Tableau3384[[#This Row],[Date du paiement]]="",IF(Tableau3384[[#This Row],[jours jusqu''à l''écheance]]-($B$4-$B$11-1)&gt;0,Tableau3384[[#This Row],[Montant
CHF]],""),"")</f>
        <v/>
      </c>
      <c r="S544" s="142"/>
      <c r="T544" s="168" t="str">
        <f>IF(Tableau3384[[#This Row],[Paiements prevus]]="oui",Tableau3384[[#This Row],[Montant prevu à payer CH]],"")</f>
        <v/>
      </c>
      <c r="U544" s="177"/>
      <c r="V544" s="192" t="s">
        <v>789</v>
      </c>
      <c r="W544" s="190"/>
      <c r="X544" s="187">
        <v>45545</v>
      </c>
      <c r="Y544" s="181" t="s">
        <v>58</v>
      </c>
      <c r="Z544" s="120" t="str">
        <f>IF(Tableau3384[[#This Row],[Méthode du paiement]]="Mastercard","OUI","")</f>
        <v/>
      </c>
      <c r="AA544" s="180" t="s">
        <v>4</v>
      </c>
      <c r="AB544" s="180" t="s">
        <v>710</v>
      </c>
    </row>
    <row r="545" spans="1:28" s="184" customFormat="1" hidden="1" x14ac:dyDescent="0.25">
      <c r="A545" s="182" t="s">
        <v>1318</v>
      </c>
      <c r="B545" s="185">
        <v>45516</v>
      </c>
      <c r="C545" s="185">
        <v>45516</v>
      </c>
      <c r="D545" s="186" t="s">
        <v>117</v>
      </c>
      <c r="E545" s="438">
        <f>Tableau3384[[#This Row],[Montant
EUR]]*Tableau3384[[#This Row],[Taux 
de change]]</f>
        <v>519.67998499999999</v>
      </c>
      <c r="F545" s="195">
        <v>0</v>
      </c>
      <c r="G545" s="193"/>
      <c r="H545" s="136">
        <f>Tableau3384[[#This Row],[Montant
CHF]]+Tableau3384[[#This Row],[Abzug/Spesen
CHF]]</f>
        <v>519.67998499999999</v>
      </c>
      <c r="I545" s="188">
        <v>0.94487270000000001</v>
      </c>
      <c r="J545" s="189">
        <v>550</v>
      </c>
      <c r="K545" s="189"/>
      <c r="L545" s="298"/>
      <c r="M545" s="194"/>
      <c r="N545" s="185">
        <v>45546</v>
      </c>
      <c r="O545" s="282" t="str">
        <f>IF(Tableau3384[[#This Row],[Date du paiement]]&gt;0,"",Tableau3384[[#This Row],[Montant
CHF]])</f>
        <v/>
      </c>
      <c r="P545" s="287" t="str">
        <f>IF(Tableau3384[[#This Row],[Date du paiement]]="",$B$4-Tableau3384[[#This Row],[Écheance]],"")</f>
        <v/>
      </c>
      <c r="Q545" s="168" t="str">
        <f>IF(Tableau3384[[#This Row],[Date du paiement]]="",IF(Tableau3384[[#This Row],[jours jusqu''à l''écheance]]&gt;0,Tableau3384[[#This Row],[Montant
CHF]],""),"")</f>
        <v/>
      </c>
      <c r="R545" s="298" t="str">
        <f>IF(Tableau3384[[#This Row],[Date du paiement]]="",IF(Tableau3384[[#This Row],[jours jusqu''à l''écheance]]-($B$4-$B$11-1)&gt;0,Tableau3384[[#This Row],[Montant
CHF]],""),"")</f>
        <v/>
      </c>
      <c r="S545" s="142"/>
      <c r="T545" s="168" t="str">
        <f>IF(Tableau3384[[#This Row],[Paiements prevus]]="oui",Tableau3384[[#This Row],[Montant prevu à payer CH]],"")</f>
        <v/>
      </c>
      <c r="U545" s="177"/>
      <c r="V545" s="192" t="s">
        <v>737</v>
      </c>
      <c r="W545" s="190"/>
      <c r="X545" s="187">
        <v>45547</v>
      </c>
      <c r="Y545" s="181" t="s">
        <v>58</v>
      </c>
      <c r="Z545" s="120" t="str">
        <f>IF(Tableau3384[[#This Row],[Méthode du paiement]]="Mastercard","OUI","")</f>
        <v/>
      </c>
      <c r="AA545" s="180" t="s">
        <v>11</v>
      </c>
      <c r="AB545" s="180" t="s">
        <v>1319</v>
      </c>
    </row>
    <row r="546" spans="1:28" s="184" customFormat="1" hidden="1" x14ac:dyDescent="0.25">
      <c r="A546" s="182" t="s">
        <v>56</v>
      </c>
      <c r="B546" s="185">
        <v>45516</v>
      </c>
      <c r="C546" s="185">
        <v>45518</v>
      </c>
      <c r="D546" s="186" t="s">
        <v>57</v>
      </c>
      <c r="E546" s="183">
        <v>7238.7</v>
      </c>
      <c r="F546" s="195" t="s">
        <v>0</v>
      </c>
      <c r="G546" s="193"/>
      <c r="H546" s="136">
        <f>Tableau3384[[#This Row],[Montant
CHF]]+Tableau3384[[#This Row],[Abzug/Spesen
CHF]]</f>
        <v>7238.7</v>
      </c>
      <c r="I546" s="188"/>
      <c r="J546" s="189"/>
      <c r="K546" s="189"/>
      <c r="L546" s="298"/>
      <c r="M546" s="194"/>
      <c r="N546" s="185">
        <v>45536</v>
      </c>
      <c r="O546" s="282" t="str">
        <f>IF(Tableau3384[[#This Row],[Date du paiement]]&gt;0,"",Tableau3384[[#This Row],[Montant
CHF]])</f>
        <v/>
      </c>
      <c r="P546" s="287" t="str">
        <f>IF(Tableau3384[[#This Row],[Date du paiement]]="",$B$4-Tableau3384[[#This Row],[Écheance]],"")</f>
        <v/>
      </c>
      <c r="Q546" s="168" t="str">
        <f>IF(Tableau3384[[#This Row],[Date du paiement]]="",IF(Tableau3384[[#This Row],[jours jusqu''à l''écheance]]&gt;0,Tableau3384[[#This Row],[Montant
CHF]],""),"")</f>
        <v/>
      </c>
      <c r="R546" s="298" t="str">
        <f>IF(Tableau3384[[#This Row],[Date du paiement]]="",IF(Tableau3384[[#This Row],[jours jusqu''à l''écheance]]-($B$4-$B$11-1)&gt;0,Tableau3384[[#This Row],[Montant
CHF]],""),"")</f>
        <v/>
      </c>
      <c r="S546" s="142"/>
      <c r="T546" s="168" t="str">
        <f>IF(Tableau3384[[#This Row],[Paiements prevus]]="oui",Tableau3384[[#This Row],[Montant prevu à payer CH]],"")</f>
        <v/>
      </c>
      <c r="U546" s="177"/>
      <c r="V546" s="192" t="s">
        <v>799</v>
      </c>
      <c r="W546" s="190"/>
      <c r="X546" s="187">
        <v>45537</v>
      </c>
      <c r="Y546" s="181" t="s">
        <v>58</v>
      </c>
      <c r="Z546" s="120" t="str">
        <f>IF(Tableau3384[[#This Row],[Méthode du paiement]]="Mastercard","OUI","")</f>
        <v/>
      </c>
      <c r="AA546" s="180" t="s">
        <v>43</v>
      </c>
      <c r="AB546" s="180" t="s">
        <v>709</v>
      </c>
    </row>
    <row r="547" spans="1:28" s="184" customFormat="1" hidden="1" x14ac:dyDescent="0.25">
      <c r="A547" s="182" t="s">
        <v>1323</v>
      </c>
      <c r="B547" s="185">
        <v>45516</v>
      </c>
      <c r="C547" s="185">
        <v>45516</v>
      </c>
      <c r="D547" s="186" t="s">
        <v>216</v>
      </c>
      <c r="E547" s="183">
        <v>2284.5</v>
      </c>
      <c r="F547" s="195">
        <v>100</v>
      </c>
      <c r="G547" s="193"/>
      <c r="H547" s="136">
        <f>Tableau3384[[#This Row],[Montant
CHF]]+Tableau3384[[#This Row],[Abzug/Spesen
CHF]]</f>
        <v>2284.5</v>
      </c>
      <c r="I547" s="188"/>
      <c r="J547" s="189"/>
      <c r="K547" s="189"/>
      <c r="L547" s="298"/>
      <c r="M547" s="194"/>
      <c r="N547" s="185">
        <v>45576</v>
      </c>
      <c r="O547" s="282" t="str">
        <f>IF(Tableau3384[[#This Row],[Date du paiement]]&gt;0,"",Tableau3384[[#This Row],[Montant
CHF]])</f>
        <v/>
      </c>
      <c r="P547" s="287" t="str">
        <f>IF(Tableau3384[[#This Row],[Date du paiement]]="",$B$4-Tableau3384[[#This Row],[Écheance]],"")</f>
        <v/>
      </c>
      <c r="Q547" s="168" t="str">
        <f>IF(Tableau3384[[#This Row],[Date du paiement]]="",IF(Tableau3384[[#This Row],[jours jusqu''à l''écheance]]&gt;0,Tableau3384[[#This Row],[Montant
CHF]],""),"")</f>
        <v/>
      </c>
      <c r="R547" s="298" t="str">
        <f>IF(Tableau3384[[#This Row],[Date du paiement]]="",IF(Tableau3384[[#This Row],[jours jusqu''à l''écheance]]-($B$4-$B$11-1)&gt;0,Tableau3384[[#This Row],[Montant
CHF]],""),"")</f>
        <v/>
      </c>
      <c r="S547" s="142"/>
      <c r="T547" s="168" t="str">
        <f>IF(Tableau3384[[#This Row],[Paiements prevus]]="oui",Tableau3384[[#This Row],[Montant prevu à payer CH]],"")</f>
        <v/>
      </c>
      <c r="U547" s="177"/>
      <c r="V547" s="192" t="s">
        <v>736</v>
      </c>
      <c r="W547" s="190"/>
      <c r="X547" s="187">
        <v>45576</v>
      </c>
      <c r="Y547" s="181" t="s">
        <v>58</v>
      </c>
      <c r="Z547" s="120" t="str">
        <f>IF(Tableau3384[[#This Row],[Méthode du paiement]]="Mastercard","OUI","")</f>
        <v/>
      </c>
      <c r="AA547" s="180" t="s">
        <v>604</v>
      </c>
      <c r="AB547" s="180" t="s">
        <v>1278</v>
      </c>
    </row>
    <row r="548" spans="1:28" s="184" customFormat="1" hidden="1" x14ac:dyDescent="0.25">
      <c r="A548" s="182" t="s">
        <v>1348</v>
      </c>
      <c r="B548" s="185">
        <v>45516</v>
      </c>
      <c r="C548" s="185">
        <v>45519</v>
      </c>
      <c r="D548" s="186" t="s">
        <v>1349</v>
      </c>
      <c r="E548" s="183">
        <v>295.10000000000002</v>
      </c>
      <c r="F548" s="195">
        <v>0</v>
      </c>
      <c r="G548" s="193"/>
      <c r="H548" s="136">
        <f>Tableau3384[[#This Row],[Montant
CHF]]+Tableau3384[[#This Row],[Abzug/Spesen
CHF]]</f>
        <v>295.10000000000002</v>
      </c>
      <c r="I548" s="188"/>
      <c r="J548" s="189"/>
      <c r="K548" s="189"/>
      <c r="L548" s="298"/>
      <c r="M548" s="194"/>
      <c r="N548" s="185">
        <v>45566</v>
      </c>
      <c r="O548" s="282" t="str">
        <f>IF(Tableau3384[[#This Row],[Date du paiement]]&gt;0,"",Tableau3384[[#This Row],[Montant
CHF]])</f>
        <v/>
      </c>
      <c r="P548" s="287" t="str">
        <f>IF(Tableau3384[[#This Row],[Date du paiement]]="",$B$4-Tableau3384[[#This Row],[Écheance]],"")</f>
        <v/>
      </c>
      <c r="Q548" s="168" t="str">
        <f>IF(Tableau3384[[#This Row],[Date du paiement]]="",IF(Tableau3384[[#This Row],[jours jusqu''à l''écheance]]&gt;0,Tableau3384[[#This Row],[Montant
CHF]],""),"")</f>
        <v/>
      </c>
      <c r="R548" s="298" t="str">
        <f>IF(Tableau3384[[#This Row],[Date du paiement]]="",IF(Tableau3384[[#This Row],[jours jusqu''à l''écheance]]-($B$4-$B$11-1)&gt;0,Tableau3384[[#This Row],[Montant
CHF]],""),"")</f>
        <v/>
      </c>
      <c r="S548" s="142"/>
      <c r="T548" s="168" t="str">
        <f>IF(Tableau3384[[#This Row],[Paiements prevus]]="oui",Tableau3384[[#This Row],[Montant prevu à payer CH]],"")</f>
        <v/>
      </c>
      <c r="U548" s="177"/>
      <c r="V548" s="192" t="s">
        <v>735</v>
      </c>
      <c r="W548" s="190"/>
      <c r="X548" s="187">
        <v>45566</v>
      </c>
      <c r="Y548" s="181" t="s">
        <v>58</v>
      </c>
      <c r="Z548" s="120" t="str">
        <f>IF(Tableau3384[[#This Row],[Méthode du paiement]]="Mastercard","OUI","")</f>
        <v/>
      </c>
      <c r="AA548" s="180" t="s">
        <v>1350</v>
      </c>
      <c r="AB548" s="180" t="s">
        <v>1351</v>
      </c>
    </row>
    <row r="549" spans="1:28" s="184" customFormat="1" hidden="1" x14ac:dyDescent="0.25">
      <c r="A549" s="182" t="s">
        <v>1339</v>
      </c>
      <c r="B549" s="185">
        <v>45517</v>
      </c>
      <c r="C549" s="185">
        <v>45517</v>
      </c>
      <c r="D549" s="186" t="s">
        <v>209</v>
      </c>
      <c r="E549" s="183">
        <v>169</v>
      </c>
      <c r="F549" s="195">
        <v>8.1</v>
      </c>
      <c r="G549" s="193"/>
      <c r="H549" s="136">
        <f>Tableau3384[[#This Row],[Montant
CHF]]+Tableau3384[[#This Row],[Abzug/Spesen
CHF]]</f>
        <v>169</v>
      </c>
      <c r="I549" s="188"/>
      <c r="J549" s="189"/>
      <c r="K549" s="189"/>
      <c r="L549" s="298"/>
      <c r="M549" s="194"/>
      <c r="N549" s="185">
        <v>45517</v>
      </c>
      <c r="O549" s="282" t="str">
        <f>IF(Tableau3384[[#This Row],[Date du paiement]]&gt;0,"",Tableau3384[[#This Row],[Montant
CHF]])</f>
        <v/>
      </c>
      <c r="P549" s="287" t="str">
        <f>IF(Tableau3384[[#This Row],[Date du paiement]]="",$B$4-Tableau3384[[#This Row],[Écheance]],"")</f>
        <v/>
      </c>
      <c r="Q549" s="168" t="str">
        <f>IF(Tableau3384[[#This Row],[Date du paiement]]="",IF(Tableau3384[[#This Row],[jours jusqu''à l''écheance]]&gt;0,Tableau3384[[#This Row],[Montant
CHF]],""),"")</f>
        <v/>
      </c>
      <c r="R549" s="298" t="str">
        <f>IF(Tableau3384[[#This Row],[Date du paiement]]="",IF(Tableau3384[[#This Row],[jours jusqu''à l''écheance]]&gt;0,Tableau3384[[#This Row],[Montant
CHF]],""),"")</f>
        <v/>
      </c>
      <c r="S549" s="142"/>
      <c r="T549" s="168" t="str">
        <f>IF(Tableau3384[[#This Row],[Paiements prevus]]="oui",Tableau3384[[#This Row],[Montant prevu à payer CH]],"")</f>
        <v/>
      </c>
      <c r="U549" s="177"/>
      <c r="V549" s="192" t="s">
        <v>738</v>
      </c>
      <c r="W549" s="190"/>
      <c r="X549" s="187">
        <v>45517</v>
      </c>
      <c r="Y549" s="181" t="s">
        <v>345</v>
      </c>
      <c r="Z549" s="120" t="str">
        <f>IF(Tableau3384[[#This Row],[Méthode du paiement]]="Mastercard","OUI","")</f>
        <v/>
      </c>
      <c r="AA549" s="180" t="s">
        <v>14</v>
      </c>
      <c r="AB549" s="180" t="s">
        <v>1341</v>
      </c>
    </row>
    <row r="550" spans="1:28" s="184" customFormat="1" hidden="1" x14ac:dyDescent="0.25">
      <c r="A550" s="182" t="s">
        <v>1448</v>
      </c>
      <c r="B550" s="185">
        <v>45537</v>
      </c>
      <c r="C550" s="185">
        <v>45538</v>
      </c>
      <c r="D550" s="186" t="s">
        <v>279</v>
      </c>
      <c r="E550" s="438">
        <v>4310</v>
      </c>
      <c r="F550" s="195">
        <v>0</v>
      </c>
      <c r="G550" s="193"/>
      <c r="H550" s="136">
        <f>Tableau3384[[#This Row],[Montant
CHF]]+Tableau3384[[#This Row],[Abzug/Spesen
CHF]]</f>
        <v>4310</v>
      </c>
      <c r="I550" s="188"/>
      <c r="J550" s="189"/>
      <c r="K550" s="189"/>
      <c r="L550" s="298"/>
      <c r="M550" s="194"/>
      <c r="N550" s="452">
        <v>45627</v>
      </c>
      <c r="O550" s="282">
        <f>IF(Tableau3384[[#This Row],[Date du paiement]]&gt;0,"",Tableau3384[[#This Row],[Montant
CHF]])</f>
        <v>4310</v>
      </c>
      <c r="P550" s="287">
        <f ca="1">IF(Tableau3384[[#This Row],[Date du paiement]]="",$B$4-Tableau3384[[#This Row],[Écheance]],"")</f>
        <v>-9.5305746527810697</v>
      </c>
      <c r="Q550" s="168" t="str">
        <f ca="1">IF(Tableau3384[[#This Row],[Date du paiement]]="",IF(Tableau3384[[#This Row],[jours jusqu''à l''écheance]]&gt;0,Tableau3384[[#This Row],[Montant
CHF]],""),"")</f>
        <v/>
      </c>
      <c r="R550" s="298" t="str">
        <f ca="1">IF(Tableau3384[[#This Row],[Date du paiement]]="",IF(Tableau3384[[#This Row],[jours jusqu''à l''écheance]]-($B$4-$B$11-1)&gt;0,Tableau3384[[#This Row],[Montant
CHF]],""),"")</f>
        <v/>
      </c>
      <c r="S550" s="142"/>
      <c r="T550" s="168" t="str">
        <f>IF(Tableau3384[[#This Row],[Paiements prevus]]="oui",Tableau3384[[#This Row],[Montant prevu à payer CH]],"")</f>
        <v/>
      </c>
      <c r="U550" s="177"/>
      <c r="V550" s="192" t="s">
        <v>735</v>
      </c>
      <c r="W550" s="190"/>
      <c r="X550" s="187"/>
      <c r="Y550" s="181"/>
      <c r="Z550" s="447" t="str">
        <f>IF(Tableau3384[[#This Row],[Méthode du paiement]]="Mastercard","OUI","")</f>
        <v/>
      </c>
      <c r="AA550" s="180" t="s">
        <v>332</v>
      </c>
      <c r="AB550" s="180" t="s">
        <v>1451</v>
      </c>
    </row>
    <row r="551" spans="1:28" s="184" customFormat="1" hidden="1" x14ac:dyDescent="0.25">
      <c r="A551" s="182" t="s">
        <v>1345</v>
      </c>
      <c r="B551" s="185">
        <v>45519</v>
      </c>
      <c r="C551" s="185">
        <v>45519</v>
      </c>
      <c r="D551" s="186" t="s">
        <v>25</v>
      </c>
      <c r="E551" s="183">
        <v>40</v>
      </c>
      <c r="F551" s="195">
        <v>0</v>
      </c>
      <c r="G551" s="193"/>
      <c r="H551" s="136">
        <f>Tableau3384[[#This Row],[Montant
CHF]]+Tableau3384[[#This Row],[Abzug/Spesen
CHF]]</f>
        <v>40</v>
      </c>
      <c r="I551" s="188"/>
      <c r="J551" s="189"/>
      <c r="K551" s="189"/>
      <c r="L551" s="298"/>
      <c r="M551" s="194"/>
      <c r="N551" s="185">
        <v>45540</v>
      </c>
      <c r="O551" s="282" t="str">
        <f>IF(Tableau3384[[#This Row],[Date du paiement]]&gt;0,"",Tableau3384[[#This Row],[Montant
CHF]])</f>
        <v/>
      </c>
      <c r="P551" s="287" t="str">
        <f>IF(Tableau3384[[#This Row],[Date du paiement]]="",$B$4-Tableau3384[[#This Row],[Écheance]],"")</f>
        <v/>
      </c>
      <c r="Q551" s="168" t="str">
        <f>IF(Tableau3384[[#This Row],[Date du paiement]]="",IF(Tableau3384[[#This Row],[jours jusqu''à l''écheance]]&gt;0,Tableau3384[[#This Row],[Montant
CHF]],""),"")</f>
        <v/>
      </c>
      <c r="R551" s="298" t="str">
        <f>IF(Tableau3384[[#This Row],[Date du paiement]]="",IF(Tableau3384[[#This Row],[jours jusqu''à l''écheance]]-($B$4-$B$11-1)&gt;0,Tableau3384[[#This Row],[Montant
CHF]],""),"")</f>
        <v/>
      </c>
      <c r="S551" s="142"/>
      <c r="T551" s="168" t="str">
        <f>IF(Tableau3384[[#This Row],[Paiements prevus]]="oui",Tableau3384[[#This Row],[Montant prevu à payer CH]],"")</f>
        <v/>
      </c>
      <c r="U551" s="177"/>
      <c r="V551" s="192" t="s">
        <v>738</v>
      </c>
      <c r="W551" s="190"/>
      <c r="X551" s="187">
        <v>45551</v>
      </c>
      <c r="Y551" s="181" t="s">
        <v>58</v>
      </c>
      <c r="Z551" s="120" t="str">
        <f>IF(Tableau3384[[#This Row],[Méthode du paiement]]="Mastercard","OUI","")</f>
        <v/>
      </c>
      <c r="AA551" s="180" t="s">
        <v>26</v>
      </c>
      <c r="AB551" s="180" t="s">
        <v>1346</v>
      </c>
    </row>
    <row r="552" spans="1:28" s="184" customFormat="1" hidden="1" x14ac:dyDescent="0.25">
      <c r="A552" s="182" t="s">
        <v>1352</v>
      </c>
      <c r="B552" s="185">
        <v>45519</v>
      </c>
      <c r="C552" s="185">
        <v>45520</v>
      </c>
      <c r="D552" s="186" t="s">
        <v>196</v>
      </c>
      <c r="E552" s="438">
        <v>2104.15</v>
      </c>
      <c r="F552" s="195">
        <v>8.1</v>
      </c>
      <c r="G552" s="193"/>
      <c r="H552" s="136">
        <f>Tableau3384[[#This Row],[Montant
CHF]]+Tableau3384[[#This Row],[Abzug/Spesen
CHF]]</f>
        <v>2104.15</v>
      </c>
      <c r="I552" s="188"/>
      <c r="J552" s="189"/>
      <c r="K552" s="189"/>
      <c r="L552" s="298"/>
      <c r="M552" s="194" t="s">
        <v>1353</v>
      </c>
      <c r="N552" s="185">
        <v>45529</v>
      </c>
      <c r="O552" s="282" t="str">
        <f>IF(Tableau3384[[#This Row],[Date du paiement]]&gt;0,"",Tableau3384[[#This Row],[Montant
CHF]])</f>
        <v/>
      </c>
      <c r="P552" s="475" t="str">
        <f>IF(Tableau3384[[#This Row],[Date du paiement]]="",$B$4-Tableau3384[[#This Row],[Écheance]],"")</f>
        <v/>
      </c>
      <c r="Q552" s="168" t="str">
        <f>IF(Tableau3384[[#This Row],[Date du paiement]]="",IF(Tableau3384[[#This Row],[jours jusqu''à l''écheance]]&gt;0,Tableau3384[[#This Row],[Montant
CHF]],""),"")</f>
        <v/>
      </c>
      <c r="R552" s="298" t="str">
        <f>IF(Tableau3384[[#This Row],[Date du paiement]]="",IF(Tableau3384[[#This Row],[jours jusqu''à l''écheance]]-($B$4-$B$11-1)&gt;0,Tableau3384[[#This Row],[Montant
CHF]],""),"")</f>
        <v/>
      </c>
      <c r="S552" s="142"/>
      <c r="T552" s="168" t="str">
        <f>IF(Tableau3384[[#This Row],[Paiements prevus]]="oui",Tableau3384[[#This Row],[Montant prevu à payer CH]],"")</f>
        <v/>
      </c>
      <c r="U552" s="449"/>
      <c r="V552" s="192" t="s">
        <v>735</v>
      </c>
      <c r="W552" s="190"/>
      <c r="X552" s="187">
        <v>45551</v>
      </c>
      <c r="Y552" s="181" t="s">
        <v>58</v>
      </c>
      <c r="Z552" s="120" t="str">
        <f>IF(Tableau3384[[#This Row],[Méthode du paiement]]="Mastercard","OUI","")</f>
        <v/>
      </c>
      <c r="AA552" s="180" t="s">
        <v>4</v>
      </c>
      <c r="AB552" s="180" t="s">
        <v>1354</v>
      </c>
    </row>
    <row r="553" spans="1:28" s="184" customFormat="1" hidden="1" x14ac:dyDescent="0.25">
      <c r="A553" s="182" t="s">
        <v>1355</v>
      </c>
      <c r="B553" s="185">
        <v>45520</v>
      </c>
      <c r="C553" s="185">
        <v>45520</v>
      </c>
      <c r="D553" s="186" t="s">
        <v>1233</v>
      </c>
      <c r="E553" s="183">
        <v>1279.7</v>
      </c>
      <c r="F553" s="195">
        <v>8.1</v>
      </c>
      <c r="G553" s="193"/>
      <c r="H553" s="136">
        <f>Tableau3384[[#This Row],[Montant
CHF]]+Tableau3384[[#This Row],[Abzug/Spesen
CHF]]</f>
        <v>1279.7</v>
      </c>
      <c r="I553" s="188"/>
      <c r="J553" s="189"/>
      <c r="K553" s="189"/>
      <c r="L553" s="298"/>
      <c r="M553" s="194"/>
      <c r="N553" s="185">
        <v>45551</v>
      </c>
      <c r="O553" s="282" t="str">
        <f>IF(Tableau3384[[#This Row],[Date du paiement]]&gt;0,"",Tableau3384[[#This Row],[Montant
CHF]])</f>
        <v/>
      </c>
      <c r="P553" s="287" t="str">
        <f>IF(Tableau3384[[#This Row],[Date du paiement]]="",$B$4-Tableau3384[[#This Row],[Écheance]],"")</f>
        <v/>
      </c>
      <c r="Q553" s="168" t="str">
        <f>IF(Tableau3384[[#This Row],[Date du paiement]]="",IF(Tableau3384[[#This Row],[jours jusqu''à l''écheance]]&gt;0,Tableau3384[[#This Row],[Montant
CHF]],""),"")</f>
        <v/>
      </c>
      <c r="R553" s="298" t="str">
        <f>IF(Tableau3384[[#This Row],[Date du paiement]]="",IF(Tableau3384[[#This Row],[jours jusqu''à l''écheance]]-($B$4-$B$11-1)&gt;0,Tableau3384[[#This Row],[Montant
CHF]],""),"")</f>
        <v/>
      </c>
      <c r="S553" s="142"/>
      <c r="T553" s="168" t="str">
        <f>IF(Tableau3384[[#This Row],[Paiements prevus]]="oui",Tableau3384[[#This Row],[Montant prevu à payer CH]],"")</f>
        <v/>
      </c>
      <c r="U553" s="177"/>
      <c r="V553" s="192" t="s">
        <v>735</v>
      </c>
      <c r="W553" s="190"/>
      <c r="X553" s="187">
        <v>45551</v>
      </c>
      <c r="Y553" s="181" t="s">
        <v>58</v>
      </c>
      <c r="Z553" s="120" t="str">
        <f>IF(Tableau3384[[#This Row],[Méthode du paiement]]="Mastercard","OUI","")</f>
        <v/>
      </c>
      <c r="AA553" s="180" t="s">
        <v>43</v>
      </c>
      <c r="AB553" s="180" t="s">
        <v>1225</v>
      </c>
    </row>
    <row r="554" spans="1:28" s="184" customFormat="1" hidden="1" x14ac:dyDescent="0.25">
      <c r="A554" s="182" t="s">
        <v>1360</v>
      </c>
      <c r="B554" s="185">
        <v>45524</v>
      </c>
      <c r="C554" s="185">
        <v>45524</v>
      </c>
      <c r="D554" s="186" t="s">
        <v>22</v>
      </c>
      <c r="E554" s="183">
        <v>2648.45</v>
      </c>
      <c r="F554" s="195">
        <v>8.1</v>
      </c>
      <c r="G554" s="193">
        <v>-52.97</v>
      </c>
      <c r="H554" s="136">
        <f>Tableau3384[[#This Row],[Montant
CHF]]+Tableau3384[[#This Row],[Abzug/Spesen
CHF]]</f>
        <v>2595.48</v>
      </c>
      <c r="I554" s="188"/>
      <c r="J554" s="189"/>
      <c r="K554" s="189"/>
      <c r="L554" s="298"/>
      <c r="M554" s="194"/>
      <c r="N554" s="185">
        <v>45534</v>
      </c>
      <c r="O554" s="282" t="str">
        <f>IF(Tableau3384[[#This Row],[Date du paiement]]&gt;0,"",Tableau3384[[#This Row],[Montant
CHF]])</f>
        <v/>
      </c>
      <c r="P554" s="287" t="str">
        <f>IF(Tableau3384[[#This Row],[Date du paiement]]="",$B$4-Tableau3384[[#This Row],[Écheance]],"")</f>
        <v/>
      </c>
      <c r="Q554" s="168" t="str">
        <f>IF(Tableau3384[[#This Row],[Date du paiement]]="",IF(Tableau3384[[#This Row],[jours jusqu''à l''écheance]]&gt;0,Tableau3384[[#This Row],[Montant
CHF]],""),"")</f>
        <v/>
      </c>
      <c r="R554" s="298" t="str">
        <f>IF(Tableau3384[[#This Row],[Date du paiement]]="",IF(Tableau3384[[#This Row],[jours jusqu''à l''écheance]]-($B$4-$B$11-1)&gt;0,Tableau3384[[#This Row],[Montant
CHF]],""),"")</f>
        <v/>
      </c>
      <c r="S554" s="142"/>
      <c r="T554" s="168" t="str">
        <f>IF(Tableau3384[[#This Row],[Paiements prevus]]="oui",Tableau3384[[#This Row],[Montant prevu à payer CH]],"")</f>
        <v/>
      </c>
      <c r="U554" s="177"/>
      <c r="V554" s="192" t="s">
        <v>738</v>
      </c>
      <c r="W554" s="190"/>
      <c r="X554" s="187">
        <v>45534</v>
      </c>
      <c r="Y554" s="181" t="s">
        <v>58</v>
      </c>
      <c r="Z554" s="120" t="str">
        <f>IF(Tableau3384[[#This Row],[Méthode du paiement]]="Mastercard","OUI","")</f>
        <v/>
      </c>
      <c r="AA554" s="180" t="s">
        <v>14</v>
      </c>
      <c r="AB554" s="180" t="s">
        <v>1361</v>
      </c>
    </row>
    <row r="555" spans="1:28" s="184" customFormat="1" hidden="1" x14ac:dyDescent="0.25">
      <c r="A555" s="182" t="s">
        <v>1432</v>
      </c>
      <c r="B555" s="185">
        <v>45524</v>
      </c>
      <c r="C555" s="185">
        <v>45534</v>
      </c>
      <c r="D555" s="186" t="s">
        <v>1433</v>
      </c>
      <c r="E555" s="183">
        <v>40.950000000000003</v>
      </c>
      <c r="F555" s="195" t="s">
        <v>0</v>
      </c>
      <c r="G555" s="193"/>
      <c r="H555" s="136">
        <f>Tableau3384[[#This Row],[Montant
CHF]]+Tableau3384[[#This Row],[Abzug/Spesen
CHF]]</f>
        <v>40.950000000000003</v>
      </c>
      <c r="I555" s="188"/>
      <c r="J555" s="189"/>
      <c r="K555" s="189"/>
      <c r="L555" s="298"/>
      <c r="M555" s="194"/>
      <c r="N555" s="185">
        <v>45534</v>
      </c>
      <c r="O555" s="282" t="str">
        <f>IF(Tableau3384[[#This Row],[Date du paiement]]&gt;0,"",Tableau3384[[#This Row],[Montant
CHF]])</f>
        <v/>
      </c>
      <c r="P555" s="287" t="str">
        <f>IF(Tableau3384[[#This Row],[Date du paiement]]="",$B$4-Tableau3384[[#This Row],[Écheance]],"")</f>
        <v/>
      </c>
      <c r="Q555" s="168" t="str">
        <f>IF(Tableau3384[[#This Row],[Date du paiement]]="",IF(Tableau3384[[#This Row],[jours jusqu''à l''écheance]]&gt;0,Tableau3384[[#This Row],[Montant
CHF]],""),"")</f>
        <v/>
      </c>
      <c r="R555" s="298" t="str">
        <f>IF(Tableau3384[[#This Row],[Date du paiement]]="",IF(Tableau3384[[#This Row],[jours jusqu''à l''écheance]]-($B$4-$B$11-1)&gt;0,Tableau3384[[#This Row],[Montant
CHF]],""),"")</f>
        <v/>
      </c>
      <c r="S555" s="142"/>
      <c r="T555" s="168" t="str">
        <f>IF(Tableau3384[[#This Row],[Paiements prevus]]="oui",Tableau3384[[#This Row],[Montant prevu à payer CH]],"")</f>
        <v/>
      </c>
      <c r="U555" s="177"/>
      <c r="V555" s="192" t="s">
        <v>738</v>
      </c>
      <c r="W555" s="190"/>
      <c r="X555" s="187">
        <v>45555</v>
      </c>
      <c r="Y555" s="181" t="s">
        <v>58</v>
      </c>
      <c r="Z555" s="120" t="str">
        <f>IF(Tableau3384[[#This Row],[Méthode du paiement]]="Mastercard","OUI","")</f>
        <v/>
      </c>
      <c r="AA555" s="180" t="s">
        <v>294</v>
      </c>
      <c r="AB555" s="180" t="s">
        <v>1434</v>
      </c>
    </row>
    <row r="556" spans="1:28" s="184" customFormat="1" hidden="1" x14ac:dyDescent="0.25">
      <c r="A556" s="182" t="s">
        <v>1376</v>
      </c>
      <c r="B556" s="185">
        <v>45525</v>
      </c>
      <c r="C556" s="185">
        <v>45525</v>
      </c>
      <c r="D556" s="186" t="s">
        <v>807</v>
      </c>
      <c r="E556" s="183">
        <v>5000</v>
      </c>
      <c r="F556" s="195">
        <v>0</v>
      </c>
      <c r="G556" s="193"/>
      <c r="H556" s="136">
        <f>Tableau3384[[#This Row],[Montant
CHF]]+Tableau3384[[#This Row],[Abzug/Spesen
CHF]]</f>
        <v>5000</v>
      </c>
      <c r="I556" s="188"/>
      <c r="J556" s="189"/>
      <c r="K556" s="189"/>
      <c r="L556" s="298" t="s">
        <v>1378</v>
      </c>
      <c r="M556" s="194" t="s">
        <v>1378</v>
      </c>
      <c r="N556" s="185">
        <v>45555</v>
      </c>
      <c r="O556" s="282" t="str">
        <f>IF(Tableau3384[[#This Row],[Date du paiement]]&gt;0,"",Tableau3384[[#This Row],[Montant
CHF]])</f>
        <v/>
      </c>
      <c r="P556" s="287" t="str">
        <f>IF(Tableau3384[[#This Row],[Date du paiement]]="",$B$4-Tableau3384[[#This Row],[Écheance]],"")</f>
        <v/>
      </c>
      <c r="Q556" s="168" t="str">
        <f>IF(Tableau3384[[#This Row],[Date du paiement]]="",IF(Tableau3384[[#This Row],[jours jusqu''à l''écheance]]&gt;0,Tableau3384[[#This Row],[Montant
CHF]],""),"")</f>
        <v/>
      </c>
      <c r="R556" s="298" t="str">
        <f>IF(Tableau3384[[#This Row],[Date du paiement]]="",IF(Tableau3384[[#This Row],[jours jusqu''à l''écheance]]-($B$4-$B$11-1)&gt;0,Tableau3384[[#This Row],[Montant
CHF]],""),"")</f>
        <v/>
      </c>
      <c r="S556" s="142"/>
      <c r="T556" s="168" t="str">
        <f>IF(Tableau3384[[#This Row],[Paiements prevus]]="oui",Tableau3384[[#This Row],[Montant prevu à payer CH]],"")</f>
        <v/>
      </c>
      <c r="U556" s="177"/>
      <c r="V556" s="192" t="s">
        <v>738</v>
      </c>
      <c r="W556" s="190"/>
      <c r="X556" s="187">
        <v>45558</v>
      </c>
      <c r="Y556" s="181" t="s">
        <v>58</v>
      </c>
      <c r="Z556" s="120" t="str">
        <f>IF(Tableau3384[[#This Row],[Méthode du paiement]]="Mastercard","OUI","")</f>
        <v/>
      </c>
      <c r="AA556" s="180" t="s">
        <v>14</v>
      </c>
      <c r="AB556" s="180" t="s">
        <v>1379</v>
      </c>
    </row>
    <row r="557" spans="1:28" s="184" customFormat="1" hidden="1" x14ac:dyDescent="0.25">
      <c r="A557" s="182" t="s">
        <v>1377</v>
      </c>
      <c r="B557" s="185">
        <v>45525</v>
      </c>
      <c r="C557" s="185">
        <v>45525</v>
      </c>
      <c r="D557" s="186" t="s">
        <v>807</v>
      </c>
      <c r="E557" s="183">
        <v>5000</v>
      </c>
      <c r="F557" s="195">
        <v>0</v>
      </c>
      <c r="G557" s="193"/>
      <c r="H557" s="136">
        <f>Tableau3384[[#This Row],[Montant
CHF]]+Tableau3384[[#This Row],[Abzug/Spesen
CHF]]</f>
        <v>5000</v>
      </c>
      <c r="I557" s="188"/>
      <c r="J557" s="189"/>
      <c r="K557" s="189"/>
      <c r="L557" s="298" t="s">
        <v>1378</v>
      </c>
      <c r="M557" s="194" t="s">
        <v>1378</v>
      </c>
      <c r="N557" s="185">
        <v>45555</v>
      </c>
      <c r="O557" s="282" t="str">
        <f>IF(Tableau3384[[#This Row],[Date du paiement]]&gt;0,"",Tableau3384[[#This Row],[Montant
CHF]])</f>
        <v/>
      </c>
      <c r="P557" s="287" t="str">
        <f>IF(Tableau3384[[#This Row],[Date du paiement]]="",$B$4-Tableau3384[[#This Row],[Écheance]],"")</f>
        <v/>
      </c>
      <c r="Q557" s="168" t="str">
        <f>IF(Tableau3384[[#This Row],[Date du paiement]]="",IF(Tableau3384[[#This Row],[jours jusqu''à l''écheance]]&gt;0,Tableau3384[[#This Row],[Montant
CHF]],""),"")</f>
        <v/>
      </c>
      <c r="R557" s="298" t="str">
        <f>IF(Tableau3384[[#This Row],[Date du paiement]]="",IF(Tableau3384[[#This Row],[jours jusqu''à l''écheance]]-($B$4-$B$11-1)&gt;0,Tableau3384[[#This Row],[Montant
CHF]],""),"")</f>
        <v/>
      </c>
      <c r="S557" s="142"/>
      <c r="T557" s="168" t="str">
        <f>IF(Tableau3384[[#This Row],[Paiements prevus]]="oui",Tableau3384[[#This Row],[Montant prevu à payer CH]],"")</f>
        <v/>
      </c>
      <c r="U557" s="177"/>
      <c r="V557" s="192" t="s">
        <v>738</v>
      </c>
      <c r="W557" s="190"/>
      <c r="X557" s="187">
        <v>45558</v>
      </c>
      <c r="Y557" s="181" t="s">
        <v>58</v>
      </c>
      <c r="Z557" s="120" t="str">
        <f>IF(Tableau3384[[#This Row],[Méthode du paiement]]="Mastercard","OUI","")</f>
        <v/>
      </c>
      <c r="AA557" s="180" t="s">
        <v>14</v>
      </c>
      <c r="AB557" s="180" t="s">
        <v>809</v>
      </c>
    </row>
    <row r="558" spans="1:28" s="184" customFormat="1" hidden="1" x14ac:dyDescent="0.25">
      <c r="A558" s="182" t="s">
        <v>1372</v>
      </c>
      <c r="B558" s="185">
        <v>45525</v>
      </c>
      <c r="C558" s="185">
        <v>45526</v>
      </c>
      <c r="D558" s="186" t="s">
        <v>216</v>
      </c>
      <c r="E558" s="183">
        <v>124.1</v>
      </c>
      <c r="F558" s="195">
        <v>100</v>
      </c>
      <c r="G558" s="193"/>
      <c r="H558" s="136">
        <f>Tableau3384[[#This Row],[Montant
CHF]]+Tableau3384[[#This Row],[Abzug/Spesen
CHF]]</f>
        <v>124.1</v>
      </c>
      <c r="I558" s="188"/>
      <c r="J558" s="189"/>
      <c r="K558" s="189"/>
      <c r="L558" s="298"/>
      <c r="M558" s="194"/>
      <c r="N558" s="185">
        <v>45586</v>
      </c>
      <c r="O558" s="282" t="str">
        <f>IF(Tableau3384[[#This Row],[Date du paiement]]&gt;0,"",Tableau3384[[#This Row],[Montant
CHF]])</f>
        <v/>
      </c>
      <c r="P558" s="287" t="str">
        <f>IF(Tableau3384[[#This Row],[Date du paiement]]="",$B$4-Tableau3384[[#This Row],[Écheance]],"")</f>
        <v/>
      </c>
      <c r="Q558" s="168" t="str">
        <f>IF(Tableau3384[[#This Row],[Date du paiement]]="",IF(Tableau3384[[#This Row],[jours jusqu''à l''écheance]]&gt;0,Tableau3384[[#This Row],[Montant
CHF]],""),"")</f>
        <v/>
      </c>
      <c r="R558" s="298" t="str">
        <f>IF(Tableau3384[[#This Row],[Date du paiement]]="",IF(Tableau3384[[#This Row],[jours jusqu''à l''écheance]]-($B$4-$B$11-1)&gt;0,Tableau3384[[#This Row],[Montant
CHF]],""),"")</f>
        <v/>
      </c>
      <c r="S558" s="142"/>
      <c r="T558" s="168" t="str">
        <f>IF(Tableau3384[[#This Row],[Paiements prevus]]="oui",Tableau3384[[#This Row],[Montant prevu à payer CH]],"")</f>
        <v/>
      </c>
      <c r="U558" s="177"/>
      <c r="V558" s="192" t="s">
        <v>736</v>
      </c>
      <c r="W558" s="190"/>
      <c r="X558" s="187">
        <v>45586</v>
      </c>
      <c r="Y558" s="181" t="s">
        <v>58</v>
      </c>
      <c r="Z558" s="120" t="str">
        <f>IF(Tableau3384[[#This Row],[Méthode du paiement]]="Mastercard","OUI","")</f>
        <v/>
      </c>
      <c r="AA558" s="180" t="s">
        <v>604</v>
      </c>
      <c r="AB558" s="180" t="s">
        <v>1346</v>
      </c>
    </row>
    <row r="559" spans="1:28" s="184" customFormat="1" hidden="1" x14ac:dyDescent="0.25">
      <c r="A559" s="182" t="s">
        <v>1370</v>
      </c>
      <c r="B559" s="185">
        <v>45526</v>
      </c>
      <c r="C559" s="185">
        <v>45526</v>
      </c>
      <c r="D559" s="186" t="s">
        <v>74</v>
      </c>
      <c r="E559" s="183">
        <v>429.05</v>
      </c>
      <c r="F559" s="195">
        <v>8.1</v>
      </c>
      <c r="G559" s="193"/>
      <c r="H559" s="136">
        <f>Tableau3384[[#This Row],[Montant
CHF]]+Tableau3384[[#This Row],[Abzug/Spesen
CHF]]</f>
        <v>429.05</v>
      </c>
      <c r="I559" s="188"/>
      <c r="J559" s="189"/>
      <c r="K559" s="189"/>
      <c r="L559" s="298"/>
      <c r="M559" s="194"/>
      <c r="N559" s="185">
        <v>45555</v>
      </c>
      <c r="O559" s="282" t="str">
        <f>IF(Tableau3384[[#This Row],[Date du paiement]]&gt;0,"",Tableau3384[[#This Row],[Montant
CHF]])</f>
        <v/>
      </c>
      <c r="P559" s="287" t="str">
        <f>IF(Tableau3384[[#This Row],[Date du paiement]]="",$B$4-Tableau3384[[#This Row],[Écheance]],"")</f>
        <v/>
      </c>
      <c r="Q559" s="168" t="str">
        <f>IF(Tableau3384[[#This Row],[Date du paiement]]="",IF(Tableau3384[[#This Row],[jours jusqu''à l''écheance]]&gt;0,Tableau3384[[#This Row],[Montant
CHF]],""),"")</f>
        <v/>
      </c>
      <c r="R559" s="298" t="str">
        <f>IF(Tableau3384[[#This Row],[Date du paiement]]="",IF(Tableau3384[[#This Row],[jours jusqu''à l''écheance]]-($B$4-$B$11-1)&gt;0,Tableau3384[[#This Row],[Montant
CHF]],""),"")</f>
        <v/>
      </c>
      <c r="S559" s="142"/>
      <c r="T559" s="168" t="str">
        <f>IF(Tableau3384[[#This Row],[Paiements prevus]]="oui",Tableau3384[[#This Row],[Montant prevu à payer CH]],"")</f>
        <v/>
      </c>
      <c r="U559" s="177"/>
      <c r="V559" s="192" t="s">
        <v>738</v>
      </c>
      <c r="W559" s="190"/>
      <c r="X559" s="187">
        <v>45558</v>
      </c>
      <c r="Y559" s="181" t="s">
        <v>58</v>
      </c>
      <c r="Z559" s="120" t="str">
        <f>IF(Tableau3384[[#This Row],[Méthode du paiement]]="Mastercard","OUI","")</f>
        <v/>
      </c>
      <c r="AA559" s="180" t="s">
        <v>14</v>
      </c>
      <c r="AB559" s="180" t="s">
        <v>1371</v>
      </c>
    </row>
    <row r="560" spans="1:28" s="184" customFormat="1" hidden="1" x14ac:dyDescent="0.25">
      <c r="A560" s="182" t="s">
        <v>1386</v>
      </c>
      <c r="B560" s="185">
        <v>45526</v>
      </c>
      <c r="C560" s="185">
        <v>45527</v>
      </c>
      <c r="D560" s="186" t="s">
        <v>13</v>
      </c>
      <c r="E560" s="183">
        <f>Tableau3384[[#This Row],[Montant
EUR]]*Tableau3384[[#This Row],[Taux 
de change]]</f>
        <v>28098.670277005</v>
      </c>
      <c r="F560" s="195">
        <v>0</v>
      </c>
      <c r="G560" s="193"/>
      <c r="H560" s="136">
        <f>Tableau3384[[#This Row],[Montant
CHF]]+Tableau3384[[#This Row],[Abzug/Spesen
CHF]]</f>
        <v>28098.670277005</v>
      </c>
      <c r="I560" s="188">
        <v>0.9426215</v>
      </c>
      <c r="J560" s="189">
        <v>29809.07</v>
      </c>
      <c r="K560" s="189"/>
      <c r="L560" s="298"/>
      <c r="M560" s="194"/>
      <c r="N560" s="185">
        <v>45587</v>
      </c>
      <c r="O560" s="282" t="str">
        <f>IF(Tableau3384[[#This Row],[Date du paiement]]&gt;0,"",Tableau3384[[#This Row],[Montant
CHF]])</f>
        <v/>
      </c>
      <c r="P560" s="287" t="str">
        <f>IF(Tableau3384[[#This Row],[Date du paiement]]="",$B$4-Tableau3384[[#This Row],[Écheance]],"")</f>
        <v/>
      </c>
      <c r="Q560" s="168" t="str">
        <f>IF(Tableau3384[[#This Row],[Date du paiement]]="",IF(Tableau3384[[#This Row],[jours jusqu''à l''écheance]]&gt;0,Tableau3384[[#This Row],[Montant
CHF]],""),"")</f>
        <v/>
      </c>
      <c r="R560" s="298" t="str">
        <f>IF(Tableau3384[[#This Row],[Date du paiement]]="",IF(Tableau3384[[#This Row],[jours jusqu''à l''écheance]]-($B$4-$B$11-1)&gt;0,Tableau3384[[#This Row],[Montant
CHF]],""),"")</f>
        <v/>
      </c>
      <c r="S560" s="142"/>
      <c r="T560" s="168" t="str">
        <f>IF(Tableau3384[[#This Row],[Paiements prevus]]="oui",Tableau3384[[#This Row],[Montant prevu à payer CH]],"")</f>
        <v/>
      </c>
      <c r="U560" s="177"/>
      <c r="V560" s="192" t="s">
        <v>737</v>
      </c>
      <c r="W560" s="190"/>
      <c r="X560" s="187">
        <v>45583</v>
      </c>
      <c r="Y560" s="181" t="s">
        <v>58</v>
      </c>
      <c r="Z560" s="120" t="str">
        <f>IF(Tableau3384[[#This Row],[Méthode du paiement]]="Mastercard","OUI","")</f>
        <v/>
      </c>
      <c r="AA560" s="180" t="s">
        <v>14</v>
      </c>
      <c r="AB560" s="180" t="s">
        <v>1387</v>
      </c>
    </row>
    <row r="561" spans="1:28" s="184" customFormat="1" hidden="1" x14ac:dyDescent="0.25">
      <c r="A561" s="182" t="s">
        <v>1399</v>
      </c>
      <c r="B561" s="185">
        <v>45530</v>
      </c>
      <c r="C561" s="185">
        <v>45532</v>
      </c>
      <c r="D561" s="186" t="s">
        <v>1390</v>
      </c>
      <c r="E561" s="183">
        <v>2334.85</v>
      </c>
      <c r="F561" s="195">
        <v>8.1</v>
      </c>
      <c r="G561" s="193"/>
      <c r="H561" s="136">
        <f>Tableau3384[[#This Row],[Montant
CHF]]+Tableau3384[[#This Row],[Abzug/Spesen
CHF]]</f>
        <v>2334.85</v>
      </c>
      <c r="I561" s="188"/>
      <c r="J561" s="189"/>
      <c r="K561" s="189"/>
      <c r="L561" s="298"/>
      <c r="M561" s="194" t="s">
        <v>1400</v>
      </c>
      <c r="N561" s="185">
        <v>45530</v>
      </c>
      <c r="O561" s="282" t="str">
        <f>IF(Tableau3384[[#This Row],[Date du paiement]]&gt;0,"",Tableau3384[[#This Row],[Montant
CHF]])</f>
        <v/>
      </c>
      <c r="P561" s="287" t="str">
        <f>IF(Tableau3384[[#This Row],[Date du paiement]]="",$B$4-Tableau3384[[#This Row],[Écheance]],"")</f>
        <v/>
      </c>
      <c r="Q561" s="168" t="str">
        <f>IF(Tableau3384[[#This Row],[Date du paiement]]="",IF(Tableau3384[[#This Row],[jours jusqu''à l''écheance]]&gt;0,Tableau3384[[#This Row],[Montant
CHF]],""),"")</f>
        <v/>
      </c>
      <c r="R561" s="298" t="str">
        <f>IF(Tableau3384[[#This Row],[Date du paiement]]="",IF(Tableau3384[[#This Row],[jours jusqu''à l''écheance]]&gt;0,Tableau3384[[#This Row],[Montant
CHF]],""),"")</f>
        <v/>
      </c>
      <c r="S561" s="142"/>
      <c r="T561" s="168" t="str">
        <f>IF(Tableau3384[[#This Row],[Paiements prevus]]="oui",Tableau3384[[#This Row],[Montant prevu à payer CH]],"")</f>
        <v/>
      </c>
      <c r="U561" s="177"/>
      <c r="V561" s="192" t="s">
        <v>791</v>
      </c>
      <c r="W561" s="190"/>
      <c r="X561" s="187">
        <v>45530</v>
      </c>
      <c r="Y561" s="181" t="s">
        <v>58</v>
      </c>
      <c r="Z561" s="120" t="str">
        <f>IF(Tableau3384[[#This Row],[Méthode du paiement]]="Mastercard","OUI","")</f>
        <v/>
      </c>
      <c r="AA561" s="180" t="s">
        <v>14</v>
      </c>
      <c r="AB561" s="180" t="s">
        <v>1391</v>
      </c>
    </row>
    <row r="562" spans="1:28" s="184" customFormat="1" hidden="1" x14ac:dyDescent="0.25">
      <c r="A562" s="182" t="s">
        <v>1396</v>
      </c>
      <c r="B562" s="185">
        <v>45530</v>
      </c>
      <c r="C562" s="185">
        <v>45530</v>
      </c>
      <c r="D562" s="186" t="s">
        <v>395</v>
      </c>
      <c r="E562" s="183">
        <v>200</v>
      </c>
      <c r="F562" s="195">
        <v>2.6</v>
      </c>
      <c r="G562" s="193"/>
      <c r="H562" s="136">
        <f>Tableau3384[[#This Row],[Montant
CHF]]+Tableau3384[[#This Row],[Abzug/Spesen
CHF]]</f>
        <v>200</v>
      </c>
      <c r="I562" s="188"/>
      <c r="J562" s="189"/>
      <c r="K562" s="189"/>
      <c r="L562" s="298"/>
      <c r="M562" s="194"/>
      <c r="N562" s="185">
        <v>45560</v>
      </c>
      <c r="O562" s="282" t="str">
        <f>IF(Tableau3384[[#This Row],[Date du paiement]]&gt;0,"",Tableau3384[[#This Row],[Montant
CHF]])</f>
        <v/>
      </c>
      <c r="P562" s="287" t="str">
        <f>IF(Tableau3384[[#This Row],[Date du paiement]]="",$B$4-Tableau3384[[#This Row],[Écheance]],"")</f>
        <v/>
      </c>
      <c r="Q562" s="168" t="str">
        <f>IF(Tableau3384[[#This Row],[Date du paiement]]="",IF(Tableau3384[[#This Row],[jours jusqu''à l''écheance]]&gt;0,Tableau3384[[#This Row],[Montant
CHF]],""),"")</f>
        <v/>
      </c>
      <c r="R562" s="298" t="str">
        <f>IF(Tableau3384[[#This Row],[Date du paiement]]="",IF(Tableau3384[[#This Row],[jours jusqu''à l''écheance]]-($B$4-$B$11-1)&gt;0,Tableau3384[[#This Row],[Montant
CHF]],""),"")</f>
        <v/>
      </c>
      <c r="S562" s="142"/>
      <c r="T562" s="168" t="str">
        <f>IF(Tableau3384[[#This Row],[Paiements prevus]]="oui",Tableau3384[[#This Row],[Montant prevu à payer CH]],"")</f>
        <v/>
      </c>
      <c r="U562" s="177"/>
      <c r="V562" s="192" t="s">
        <v>735</v>
      </c>
      <c r="W562" s="190"/>
      <c r="X562" s="187">
        <v>45561</v>
      </c>
      <c r="Y562" s="181" t="s">
        <v>58</v>
      </c>
      <c r="Z562" s="120" t="str">
        <f>IF(Tableau3384[[#This Row],[Méthode du paiement]]="Mastercard","OUI","")</f>
        <v/>
      </c>
      <c r="AA562" s="180" t="s">
        <v>14</v>
      </c>
      <c r="AB562" s="180" t="s">
        <v>102</v>
      </c>
    </row>
    <row r="563" spans="1:28" s="184" customFormat="1" hidden="1" x14ac:dyDescent="0.25">
      <c r="A563" s="182" t="s">
        <v>1429</v>
      </c>
      <c r="B563" s="185">
        <v>45530</v>
      </c>
      <c r="C563" s="185">
        <v>45534</v>
      </c>
      <c r="D563" s="186" t="s">
        <v>62</v>
      </c>
      <c r="E563" s="183">
        <v>65</v>
      </c>
      <c r="F563" s="195">
        <v>0</v>
      </c>
      <c r="G563" s="193"/>
      <c r="H563" s="136">
        <f>Tableau3384[[#This Row],[Montant
CHF]]+Tableau3384[[#This Row],[Abzug/Spesen
CHF]]</f>
        <v>65</v>
      </c>
      <c r="I563" s="188"/>
      <c r="J563" s="189"/>
      <c r="K563" s="189"/>
      <c r="L563" s="298"/>
      <c r="M563" s="194"/>
      <c r="N563" s="185">
        <v>45572</v>
      </c>
      <c r="O563" s="282" t="str">
        <f>IF(Tableau3384[[#This Row],[Date du paiement]]&gt;0,"",Tableau3384[[#This Row],[Montant
CHF]])</f>
        <v/>
      </c>
      <c r="P563" s="287" t="str">
        <f>IF(Tableau3384[[#This Row],[Date du paiement]]="",$B$4-Tableau3384[[#This Row],[Écheance]],"")</f>
        <v/>
      </c>
      <c r="Q563" s="168" t="str">
        <f>IF(Tableau3384[[#This Row],[Date du paiement]]="",IF(Tableau3384[[#This Row],[jours jusqu''à l''écheance]]&gt;0,Tableau3384[[#This Row],[Montant
CHF]],""),"")</f>
        <v/>
      </c>
      <c r="R563" s="298" t="str">
        <f>IF(Tableau3384[[#This Row],[Date du paiement]]="",IF(Tableau3384[[#This Row],[jours jusqu''à l''écheance]]-($B$4-$B$11-1)&gt;0,Tableau3384[[#This Row],[Montant
CHF]],""),"")</f>
        <v/>
      </c>
      <c r="S563" s="142"/>
      <c r="T563" s="168" t="str">
        <f>IF(Tableau3384[[#This Row],[Paiements prevus]]="oui",Tableau3384[[#This Row],[Montant prevu à payer CH]],"")</f>
        <v/>
      </c>
      <c r="U563" s="177"/>
      <c r="V563" s="192" t="s">
        <v>735</v>
      </c>
      <c r="W563" s="190"/>
      <c r="X563" s="187">
        <v>45572</v>
      </c>
      <c r="Y563" s="181" t="s">
        <v>58</v>
      </c>
      <c r="Z563" s="120" t="str">
        <f>IF(Tableau3384[[#This Row],[Méthode du paiement]]="Mastercard","OUI","")</f>
        <v/>
      </c>
      <c r="AA563" s="180" t="s">
        <v>1431</v>
      </c>
      <c r="AB563" s="180" t="s">
        <v>1430</v>
      </c>
    </row>
    <row r="564" spans="1:28" s="184" customFormat="1" hidden="1" x14ac:dyDescent="0.25">
      <c r="A564" s="182" t="s">
        <v>1417</v>
      </c>
      <c r="B564" s="185">
        <v>45531</v>
      </c>
      <c r="C564" s="185">
        <v>45533</v>
      </c>
      <c r="D564" s="186" t="s">
        <v>1418</v>
      </c>
      <c r="E564" s="183">
        <v>891.7</v>
      </c>
      <c r="F564" s="195">
        <v>8.1</v>
      </c>
      <c r="G564" s="193"/>
      <c r="H564" s="136">
        <f>Tableau3384[[#This Row],[Montant
CHF]]+Tableau3384[[#This Row],[Abzug/Spesen
CHF]]</f>
        <v>891.7</v>
      </c>
      <c r="I564" s="188"/>
      <c r="J564" s="189"/>
      <c r="K564" s="189"/>
      <c r="L564" s="298"/>
      <c r="M564" s="194"/>
      <c r="N564" s="185">
        <v>45562</v>
      </c>
      <c r="O564" s="282" t="str">
        <f>IF(Tableau3384[[#This Row],[Date du paiement]]&gt;0,"",Tableau3384[[#This Row],[Montant
CHF]])</f>
        <v/>
      </c>
      <c r="P564" s="287" t="str">
        <f>IF(Tableau3384[[#This Row],[Date du paiement]]="",$B$4-Tableau3384[[#This Row],[Écheance]],"")</f>
        <v/>
      </c>
      <c r="Q564" s="168" t="str">
        <f>IF(Tableau3384[[#This Row],[Date du paiement]]="",IF(Tableau3384[[#This Row],[jours jusqu''à l''écheance]]&gt;0,Tableau3384[[#This Row],[Montant
CHF]],""),"")</f>
        <v/>
      </c>
      <c r="R564" s="298" t="str">
        <f>IF(Tableau3384[[#This Row],[Date du paiement]]="",IF(Tableau3384[[#This Row],[jours jusqu''à l''écheance]]-($B$4-$B$11-1)&gt;0,Tableau3384[[#This Row],[Montant
CHF]],""),"")</f>
        <v/>
      </c>
      <c r="S564" s="142"/>
      <c r="T564" s="168" t="str">
        <f>IF(Tableau3384[[#This Row],[Paiements prevus]]="oui",Tableau3384[[#This Row],[Montant prevu à payer CH]],"")</f>
        <v/>
      </c>
      <c r="U564" s="177"/>
      <c r="V564" s="192" t="s">
        <v>738</v>
      </c>
      <c r="W564" s="190"/>
      <c r="X564" s="187">
        <v>45562</v>
      </c>
      <c r="Y564" s="181" t="s">
        <v>58</v>
      </c>
      <c r="Z564" s="120" t="str">
        <f>IF(Tableau3384[[#This Row],[Méthode du paiement]]="Mastercard","OUI","")</f>
        <v/>
      </c>
      <c r="AA564" s="180" t="s">
        <v>14</v>
      </c>
      <c r="AB564" s="180" t="s">
        <v>1419</v>
      </c>
    </row>
    <row r="565" spans="1:28" s="184" customFormat="1" hidden="1" x14ac:dyDescent="0.25">
      <c r="A565" s="182" t="s">
        <v>1414</v>
      </c>
      <c r="B565" s="185">
        <v>45532</v>
      </c>
      <c r="C565" s="185">
        <v>45532</v>
      </c>
      <c r="D565" s="186" t="s">
        <v>25</v>
      </c>
      <c r="E565" s="183">
        <v>40</v>
      </c>
      <c r="F565" s="195">
        <v>0</v>
      </c>
      <c r="G565" s="193"/>
      <c r="H565" s="136">
        <f>Tableau3384[[#This Row],[Montant
CHF]]+Tableau3384[[#This Row],[Abzug/Spesen
CHF]]</f>
        <v>40</v>
      </c>
      <c r="I565" s="188"/>
      <c r="J565" s="189"/>
      <c r="K565" s="189"/>
      <c r="L565" s="298"/>
      <c r="M565" s="194"/>
      <c r="N565" s="185">
        <v>45553</v>
      </c>
      <c r="O565" s="282" t="str">
        <f>IF(Tableau3384[[#This Row],[Date du paiement]]&gt;0,"",Tableau3384[[#This Row],[Montant
CHF]])</f>
        <v/>
      </c>
      <c r="P565" s="287" t="str">
        <f>IF(Tableau3384[[#This Row],[Date du paiement]]="",$B$4-Tableau3384[[#This Row],[Écheance]],"")</f>
        <v/>
      </c>
      <c r="Q565" s="168" t="str">
        <f>IF(Tableau3384[[#This Row],[Date du paiement]]="",IF(Tableau3384[[#This Row],[jours jusqu''à l''écheance]]&gt;0,Tableau3384[[#This Row],[Montant
CHF]],""),"")</f>
        <v/>
      </c>
      <c r="R565" s="298" t="str">
        <f>IF(Tableau3384[[#This Row],[Date du paiement]]="",IF(Tableau3384[[#This Row],[jours jusqu''à l''écheance]]-($B$4-$B$11-1)&gt;0,Tableau3384[[#This Row],[Montant
CHF]],""),"")</f>
        <v/>
      </c>
      <c r="S565" s="142"/>
      <c r="T565" s="168" t="str">
        <f>IF(Tableau3384[[#This Row],[Paiements prevus]]="oui",Tableau3384[[#This Row],[Montant prevu à payer CH]],"")</f>
        <v/>
      </c>
      <c r="U565" s="177"/>
      <c r="V565" s="192" t="s">
        <v>738</v>
      </c>
      <c r="W565" s="190"/>
      <c r="X565" s="187">
        <v>45565</v>
      </c>
      <c r="Y565" s="181" t="s">
        <v>58</v>
      </c>
      <c r="Z565" s="120" t="str">
        <f>IF(Tableau3384[[#This Row],[Méthode du paiement]]="Mastercard","OUI","")</f>
        <v/>
      </c>
      <c r="AA565" s="180" t="s">
        <v>26</v>
      </c>
      <c r="AB565" s="180" t="s">
        <v>1415</v>
      </c>
    </row>
    <row r="566" spans="1:28" s="184" customFormat="1" hidden="1" x14ac:dyDescent="0.25">
      <c r="A566" s="182" t="s">
        <v>1411</v>
      </c>
      <c r="B566" s="185">
        <v>45532</v>
      </c>
      <c r="C566" s="185">
        <v>45533</v>
      </c>
      <c r="D566" s="186" t="s">
        <v>1412</v>
      </c>
      <c r="E566" s="183">
        <v>480</v>
      </c>
      <c r="F566" s="195">
        <v>0</v>
      </c>
      <c r="G566" s="193"/>
      <c r="H566" s="136">
        <f>Tableau3384[[#This Row],[Montant
CHF]]+Tableau3384[[#This Row],[Abzug/Spesen
CHF]]</f>
        <v>480</v>
      </c>
      <c r="I566" s="188"/>
      <c r="J566" s="189"/>
      <c r="K566" s="189"/>
      <c r="L566" s="298"/>
      <c r="M566" s="194"/>
      <c r="N566" s="185">
        <v>45543</v>
      </c>
      <c r="O566" s="282" t="str">
        <f>IF(Tableau3384[[#This Row],[Date du paiement]]&gt;0,"",Tableau3384[[#This Row],[Montant
CHF]])</f>
        <v/>
      </c>
      <c r="P566" s="287" t="str">
        <f>IF(Tableau3384[[#This Row],[Date du paiement]]="",$B$4-Tableau3384[[#This Row],[Écheance]],"")</f>
        <v/>
      </c>
      <c r="Q566" s="168" t="str">
        <f>IF(Tableau3384[[#This Row],[Date du paiement]]="",IF(Tableau3384[[#This Row],[jours jusqu''à l''écheance]]&gt;0,Tableau3384[[#This Row],[Montant
CHF]],""),"")</f>
        <v/>
      </c>
      <c r="R566" s="298" t="str">
        <f>IF(Tableau3384[[#This Row],[Date du paiement]]="",IF(Tableau3384[[#This Row],[jours jusqu''à l''écheance]]-($B$4-$B$11-1)&gt;0,Tableau3384[[#This Row],[Montant
CHF]],""),"")</f>
        <v/>
      </c>
      <c r="S566" s="142"/>
      <c r="T566" s="168" t="str">
        <f>IF(Tableau3384[[#This Row],[Paiements prevus]]="oui",Tableau3384[[#This Row],[Montant prevu à payer CH]],"")</f>
        <v/>
      </c>
      <c r="U566" s="177"/>
      <c r="V566" s="192" t="s">
        <v>735</v>
      </c>
      <c r="W566" s="190"/>
      <c r="X566" s="187">
        <v>45565</v>
      </c>
      <c r="Y566" s="181" t="s">
        <v>58</v>
      </c>
      <c r="Z566" s="120" t="str">
        <f>IF(Tableau3384[[#This Row],[Méthode du paiement]]="Mastercard","OUI","")</f>
        <v/>
      </c>
      <c r="AA566" s="180" t="s">
        <v>43</v>
      </c>
      <c r="AB566" s="180" t="s">
        <v>1413</v>
      </c>
    </row>
    <row r="567" spans="1:28" s="184" customFormat="1" hidden="1" x14ac:dyDescent="0.25">
      <c r="A567" s="182" t="s">
        <v>1420</v>
      </c>
      <c r="B567" s="185">
        <v>45532</v>
      </c>
      <c r="C567" s="185">
        <v>45533</v>
      </c>
      <c r="D567" s="186" t="s">
        <v>1421</v>
      </c>
      <c r="E567" s="183">
        <v>480</v>
      </c>
      <c r="F567" s="195">
        <v>8.1</v>
      </c>
      <c r="G567" s="193"/>
      <c r="H567" s="136">
        <f>Tableau3384[[#This Row],[Montant
CHF]]+Tableau3384[[#This Row],[Abzug/Spesen
CHF]]</f>
        <v>480</v>
      </c>
      <c r="I567" s="188"/>
      <c r="J567" s="189"/>
      <c r="K567" s="189"/>
      <c r="L567" s="298"/>
      <c r="M567" s="194"/>
      <c r="N567" s="185">
        <v>45543</v>
      </c>
      <c r="O567" s="282" t="str">
        <f>IF(Tableau3384[[#This Row],[Date du paiement]]&gt;0,"",Tableau3384[[#This Row],[Montant
CHF]])</f>
        <v/>
      </c>
      <c r="P567" s="287" t="str">
        <f>IF(Tableau3384[[#This Row],[Date du paiement]]="",$B$4-Tableau3384[[#This Row],[Écheance]],"")</f>
        <v/>
      </c>
      <c r="Q567" s="168" t="str">
        <f>IF(Tableau3384[[#This Row],[Date du paiement]]="",IF(Tableau3384[[#This Row],[jours jusqu''à l''écheance]]&gt;0,Tableau3384[[#This Row],[Montant
CHF]],""),"")</f>
        <v/>
      </c>
      <c r="R567" s="298" t="str">
        <f>IF(Tableau3384[[#This Row],[Date du paiement]]="",IF(Tableau3384[[#This Row],[jours jusqu''à l''écheance]]-($B$4-$B$11-1)&gt;0,Tableau3384[[#This Row],[Montant
CHF]],""),"")</f>
        <v/>
      </c>
      <c r="S567" s="142"/>
      <c r="T567" s="168" t="str">
        <f>IF(Tableau3384[[#This Row],[Paiements prevus]]="oui",Tableau3384[[#This Row],[Montant prevu à payer CH]],"")</f>
        <v/>
      </c>
      <c r="U567" s="177"/>
      <c r="V567" s="192" t="s">
        <v>738</v>
      </c>
      <c r="W567" s="480" t="s">
        <v>1512</v>
      </c>
      <c r="X567" s="187">
        <v>45565</v>
      </c>
      <c r="Y567" s="181" t="s">
        <v>58</v>
      </c>
      <c r="Z567" s="120" t="str">
        <f>IF(Tableau3384[[#This Row],[Méthode du paiement]]="Mastercard","OUI","")</f>
        <v/>
      </c>
      <c r="AA567" s="180" t="s">
        <v>14</v>
      </c>
      <c r="AB567" s="180" t="s">
        <v>1423</v>
      </c>
    </row>
    <row r="568" spans="1:28" s="184" customFormat="1" hidden="1" x14ac:dyDescent="0.25">
      <c r="A568" s="182" t="s">
        <v>1548</v>
      </c>
      <c r="B568" s="185">
        <v>45532</v>
      </c>
      <c r="C568" s="185">
        <v>45532</v>
      </c>
      <c r="D568" s="186" t="s">
        <v>196</v>
      </c>
      <c r="E568" s="183">
        <v>912.4</v>
      </c>
      <c r="F568" s="195">
        <v>8.1</v>
      </c>
      <c r="G568" s="193"/>
      <c r="H568" s="136">
        <f>Tableau3384[[#This Row],[Montant
CHF]]+Tableau3384[[#This Row],[Abzug/Spesen
CHF]]</f>
        <v>912.4</v>
      </c>
      <c r="I568" s="188"/>
      <c r="J568" s="189"/>
      <c r="K568" s="189"/>
      <c r="L568" s="298"/>
      <c r="M568" s="194"/>
      <c r="N568" s="185">
        <v>45542</v>
      </c>
      <c r="O568" s="282" t="str">
        <f>IF(Tableau3384[[#This Row],[Date du paiement]]&gt;0,"",Tableau3384[[#This Row],[Montant
CHF]])</f>
        <v/>
      </c>
      <c r="P568" s="287" t="str">
        <f>IF(Tableau3384[[#This Row],[Date du paiement]]="",$B$4-Tableau3384[[#This Row],[Écheance]],"")</f>
        <v/>
      </c>
      <c r="Q568" s="168" t="str">
        <f>IF(Tableau3384[[#This Row],[Date du paiement]]="",IF(Tableau3384[[#This Row],[jours jusqu''à l''écheance]]&gt;0,Tableau3384[[#This Row],[Montant
CHF]],""),"")</f>
        <v/>
      </c>
      <c r="R568" s="298" t="str">
        <f>IF(Tableau3384[[#This Row],[Date du paiement]]="",IF(Tableau3384[[#This Row],[jours jusqu''à l''écheance]]&gt;0,Tableau3384[[#This Row],[Montant
CHF]],""),"")</f>
        <v/>
      </c>
      <c r="S568" s="142"/>
      <c r="T568" s="168" t="str">
        <f>IF(Tableau3384[[#This Row],[Paiements prevus]]="oui",Tableau3384[[#This Row],[Montant prevu à payer CH]],"")</f>
        <v/>
      </c>
      <c r="U568" s="177"/>
      <c r="V568" s="192" t="s">
        <v>735</v>
      </c>
      <c r="W568" s="190"/>
      <c r="X568" s="187">
        <v>45566</v>
      </c>
      <c r="Y568" s="181" t="s">
        <v>58</v>
      </c>
      <c r="Z568" s="500" t="str">
        <f>IF(Tableau3384[[#This Row],[Méthode du paiement]]="Mastercard","OUI","")</f>
        <v/>
      </c>
      <c r="AA568" s="180" t="s">
        <v>4</v>
      </c>
      <c r="AB568" s="180" t="s">
        <v>1549</v>
      </c>
    </row>
    <row r="569" spans="1:28" s="184" customFormat="1" hidden="1" x14ac:dyDescent="0.25">
      <c r="A569" s="182" t="s">
        <v>1422</v>
      </c>
      <c r="B569" s="185">
        <v>45533</v>
      </c>
      <c r="C569" s="185">
        <v>45534</v>
      </c>
      <c r="D569" s="186" t="s">
        <v>362</v>
      </c>
      <c r="E569" s="183">
        <v>3724.05</v>
      </c>
      <c r="F569" s="195">
        <v>8.1</v>
      </c>
      <c r="G569" s="193"/>
      <c r="H569" s="136">
        <f>Tableau3384[[#This Row],[Montant
CHF]]+Tableau3384[[#This Row],[Abzug/Spesen
CHF]]</f>
        <v>3724.05</v>
      </c>
      <c r="I569" s="188"/>
      <c r="J569" s="189"/>
      <c r="K569" s="189"/>
      <c r="L569" s="298"/>
      <c r="M569" s="194" t="s">
        <v>1424</v>
      </c>
      <c r="N569" s="185">
        <v>45564</v>
      </c>
      <c r="O569" s="282" t="str">
        <f>IF(Tableau3384[[#This Row],[Date du paiement]]&gt;0,"",Tableau3384[[#This Row],[Montant
CHF]])</f>
        <v/>
      </c>
      <c r="P569" s="287" t="str">
        <f>IF(Tableau3384[[#This Row],[Date du paiement]]="",$B$4-Tableau3384[[#This Row],[Écheance]],"")</f>
        <v/>
      </c>
      <c r="Q569" s="168" t="str">
        <f>IF(Tableau3384[[#This Row],[Date du paiement]]="",IF(Tableau3384[[#This Row],[jours jusqu''à l''écheance]]&gt;0,Tableau3384[[#This Row],[Montant
CHF]],""),"")</f>
        <v/>
      </c>
      <c r="R569" s="298" t="str">
        <f>IF(Tableau3384[[#This Row],[Date du paiement]]="",IF(Tableau3384[[#This Row],[jours jusqu''à l''écheance]]-($B$4-$B$11-1)&gt;0,Tableau3384[[#This Row],[Montant
CHF]],""),"")</f>
        <v/>
      </c>
      <c r="S569" s="142"/>
      <c r="T569" s="168" t="str">
        <f>IF(Tableau3384[[#This Row],[Paiements prevus]]="oui",Tableau3384[[#This Row],[Montant prevu à payer CH]],"")</f>
        <v/>
      </c>
      <c r="U569" s="177"/>
      <c r="V569" s="192" t="s">
        <v>735</v>
      </c>
      <c r="W569" s="320"/>
      <c r="X569" s="187">
        <v>45565</v>
      </c>
      <c r="Y569" s="181" t="s">
        <v>58</v>
      </c>
      <c r="Z569" s="120" t="str">
        <f>IF(Tableau3384[[#This Row],[Méthode du paiement]]="Mastercard","OUI","")</f>
        <v/>
      </c>
      <c r="AA569" s="180" t="s">
        <v>4</v>
      </c>
      <c r="AB569" s="180" t="s">
        <v>710</v>
      </c>
    </row>
    <row r="570" spans="1:28" s="184" customFormat="1" hidden="1" x14ac:dyDescent="0.25">
      <c r="A570" s="182" t="s">
        <v>1439</v>
      </c>
      <c r="B570" s="185">
        <v>45534</v>
      </c>
      <c r="C570" s="185">
        <v>45537</v>
      </c>
      <c r="D570" s="186" t="s">
        <v>104</v>
      </c>
      <c r="E570" s="183">
        <v>136.41</v>
      </c>
      <c r="F570" s="195">
        <v>8.1</v>
      </c>
      <c r="G570" s="193"/>
      <c r="H570" s="136">
        <f>Tableau3384[[#This Row],[Montant
CHF]]+Tableau3384[[#This Row],[Abzug/Spesen
CHF]]</f>
        <v>136.41</v>
      </c>
      <c r="I570" s="188"/>
      <c r="J570" s="189"/>
      <c r="K570" s="189"/>
      <c r="L570" s="298"/>
      <c r="M570" s="194"/>
      <c r="N570" s="185">
        <v>45534</v>
      </c>
      <c r="O570" s="282" t="str">
        <f>IF(Tableau3384[[#This Row],[Date du paiement]]&gt;0,"",Tableau3384[[#This Row],[Montant
CHF]])</f>
        <v/>
      </c>
      <c r="P570" s="287" t="str">
        <f>IF(Tableau3384[[#This Row],[Date du paiement]]="",$B$4-Tableau3384[[#This Row],[Écheance]],"")</f>
        <v/>
      </c>
      <c r="Q570" s="168" t="str">
        <f>IF(Tableau3384[[#This Row],[Date du paiement]]="",IF(Tableau3384[[#This Row],[jours jusqu''à l''écheance]]&gt;0,Tableau3384[[#This Row],[Montant
CHF]],""),"")</f>
        <v/>
      </c>
      <c r="R570" s="298" t="str">
        <f>IF(Tableau3384[[#This Row],[Date du paiement]]="",IF(Tableau3384[[#This Row],[jours jusqu''à l''écheance]]&gt;0,Tableau3384[[#This Row],[Montant
CHF]],""),"")</f>
        <v/>
      </c>
      <c r="S570" s="142"/>
      <c r="T570" s="168" t="str">
        <f>IF(Tableau3384[[#This Row],[Paiements prevus]]="oui",Tableau3384[[#This Row],[Montant prevu à payer CH]],"")</f>
        <v/>
      </c>
      <c r="U570" s="177"/>
      <c r="V570" s="192" t="s">
        <v>799</v>
      </c>
      <c r="W570" s="190"/>
      <c r="X570" s="187">
        <v>45534</v>
      </c>
      <c r="Y570" s="181" t="s">
        <v>105</v>
      </c>
      <c r="Z570" s="447" t="str">
        <f>IF(Tableau3384[[#This Row],[Méthode du paiement]]="Mastercard","OUI","")</f>
        <v>OUI</v>
      </c>
      <c r="AA570" s="180" t="s">
        <v>14</v>
      </c>
      <c r="AB570" s="180" t="s">
        <v>1440</v>
      </c>
    </row>
    <row r="571" spans="1:28" s="184" customFormat="1" hidden="1" x14ac:dyDescent="0.25">
      <c r="A571" s="182" t="s">
        <v>1436</v>
      </c>
      <c r="B571" s="185">
        <v>45534</v>
      </c>
      <c r="C571" s="185">
        <v>45537</v>
      </c>
      <c r="D571" s="186" t="s">
        <v>25</v>
      </c>
      <c r="E571" s="183">
        <v>40</v>
      </c>
      <c r="F571" s="195">
        <v>0</v>
      </c>
      <c r="G571" s="193"/>
      <c r="H571" s="136">
        <f>Tableau3384[[#This Row],[Montant
CHF]]+Tableau3384[[#This Row],[Abzug/Spesen
CHF]]</f>
        <v>40</v>
      </c>
      <c r="I571" s="188"/>
      <c r="J571" s="189"/>
      <c r="K571" s="189"/>
      <c r="L571" s="298"/>
      <c r="M571" s="194"/>
      <c r="N571" s="185">
        <v>45555</v>
      </c>
      <c r="O571" s="282" t="str">
        <f>IF(Tableau3384[[#This Row],[Date du paiement]]&gt;0,"",Tableau3384[[#This Row],[Montant
CHF]])</f>
        <v/>
      </c>
      <c r="P571" s="287" t="str">
        <f>IF(Tableau3384[[#This Row],[Date du paiement]]="",$B$4-Tableau3384[[#This Row],[Écheance]],"")</f>
        <v/>
      </c>
      <c r="Q571" s="168" t="str">
        <f>IF(Tableau3384[[#This Row],[Date du paiement]]="",IF(Tableau3384[[#This Row],[jours jusqu''à l''écheance]]&gt;0,Tableau3384[[#This Row],[Montant
CHF]],""),"")</f>
        <v/>
      </c>
      <c r="R571" s="298" t="str">
        <f>IF(Tableau3384[[#This Row],[Date du paiement]]="",IF(Tableau3384[[#This Row],[jours jusqu''à l''écheance]]-($B$4-$B$11-1)&gt;0,Tableau3384[[#This Row],[Montant
CHF]],""),"")</f>
        <v/>
      </c>
      <c r="S571" s="142"/>
      <c r="T571" s="168" t="str">
        <f>IF(Tableau3384[[#This Row],[Paiements prevus]]="oui",Tableau3384[[#This Row],[Montant prevu à payer CH]],"")</f>
        <v/>
      </c>
      <c r="U571" s="177"/>
      <c r="V571" s="192" t="s">
        <v>738</v>
      </c>
      <c r="W571" s="444"/>
      <c r="X571" s="187">
        <v>45565</v>
      </c>
      <c r="Y571" s="181" t="s">
        <v>58</v>
      </c>
      <c r="Z571" s="120" t="str">
        <f>IF(Tableau3384[[#This Row],[Méthode du paiement]]="Mastercard","OUI","")</f>
        <v/>
      </c>
      <c r="AA571" s="180" t="s">
        <v>26</v>
      </c>
      <c r="AB571" s="180" t="s">
        <v>1437</v>
      </c>
    </row>
    <row r="572" spans="1:28" s="184" customFormat="1" hidden="1" x14ac:dyDescent="0.25">
      <c r="A572" s="182" t="s">
        <v>1428</v>
      </c>
      <c r="B572" s="185">
        <v>45535</v>
      </c>
      <c r="C572" s="185">
        <v>45534</v>
      </c>
      <c r="D572" s="186" t="s">
        <v>101</v>
      </c>
      <c r="E572" s="183">
        <v>44.99</v>
      </c>
      <c r="F572" s="195">
        <v>8.1</v>
      </c>
      <c r="G572" s="193"/>
      <c r="H572" s="136">
        <f>Tableau3384[[#This Row],[Montant
CHF]]+Tableau3384[[#This Row],[Abzug/Spesen
CHF]]</f>
        <v>44.99</v>
      </c>
      <c r="I572" s="188"/>
      <c r="J572" s="189"/>
      <c r="K572" s="189"/>
      <c r="L572" s="298"/>
      <c r="M572" s="194" t="s">
        <v>1366</v>
      </c>
      <c r="N572" s="185">
        <v>45565</v>
      </c>
      <c r="O572" s="282" t="str">
        <f>IF(Tableau3384[[#This Row],[Date du paiement]]&gt;0,"",Tableau3384[[#This Row],[Montant
CHF]])</f>
        <v/>
      </c>
      <c r="P572" s="287" t="str">
        <f>IF(Tableau3384[[#This Row],[Date du paiement]]="",$B$4-Tableau3384[[#This Row],[Écheance]],"")</f>
        <v/>
      </c>
      <c r="Q572" s="168" t="str">
        <f>IF(Tableau3384[[#This Row],[Date du paiement]]="",IF(Tableau3384[[#This Row],[jours jusqu''à l''écheance]]&gt;0,Tableau3384[[#This Row],[Montant
CHF]],""),"")</f>
        <v/>
      </c>
      <c r="R572" s="298" t="str">
        <f>IF(Tableau3384[[#This Row],[Date du paiement]]="",IF(Tableau3384[[#This Row],[jours jusqu''à l''écheance]]-($B$4-$B$11-1)&gt;0,Tableau3384[[#This Row],[Montant
CHF]],""),"")</f>
        <v/>
      </c>
      <c r="S572" s="142"/>
      <c r="T572" s="168" t="str">
        <f>IF(Tableau3384[[#This Row],[Paiements prevus]]="oui",Tableau3384[[#This Row],[Montant prevu à payer CH]],"")</f>
        <v/>
      </c>
      <c r="U572" s="177"/>
      <c r="V572" s="192" t="s">
        <v>735</v>
      </c>
      <c r="W572" s="190"/>
      <c r="X572" s="187">
        <v>45565</v>
      </c>
      <c r="Y572" s="181" t="s">
        <v>58</v>
      </c>
      <c r="Z572" s="120" t="str">
        <f>IF(Tableau3384[[#This Row],[Méthode du paiement]]="Mastercard","OUI","")</f>
        <v/>
      </c>
      <c r="AA572" s="180" t="s">
        <v>102</v>
      </c>
      <c r="AB572" s="180" t="s">
        <v>710</v>
      </c>
    </row>
    <row r="573" spans="1:28" s="184" customFormat="1" hidden="1" x14ac:dyDescent="0.25">
      <c r="A573" s="182" t="s">
        <v>1483</v>
      </c>
      <c r="B573" s="185">
        <v>45535</v>
      </c>
      <c r="C573" s="185">
        <v>45535</v>
      </c>
      <c r="D573" s="186" t="s">
        <v>94</v>
      </c>
      <c r="E573" s="183">
        <v>127.55</v>
      </c>
      <c r="F573" s="195">
        <v>8.1</v>
      </c>
      <c r="G573" s="193"/>
      <c r="H573" s="136">
        <f>Tableau3384[[#This Row],[Montant
CHF]]+Tableau3384[[#This Row],[Abzug/Spesen
CHF]]</f>
        <v>127.55</v>
      </c>
      <c r="I573" s="188"/>
      <c r="J573" s="189"/>
      <c r="K573" s="189"/>
      <c r="L573" s="298"/>
      <c r="M573" s="194"/>
      <c r="N573" s="185">
        <v>45565</v>
      </c>
      <c r="O573" s="282" t="str">
        <f>IF(Tableau3384[[#This Row],[Date du paiement]]&gt;0,"",Tableau3384[[#This Row],[Montant
CHF]])</f>
        <v/>
      </c>
      <c r="P573" s="287" t="str">
        <f>IF(Tableau3384[[#This Row],[Date du paiement]]="",$B$4-Tableau3384[[#This Row],[Écheance]],"")</f>
        <v/>
      </c>
      <c r="Q573" s="168" t="str">
        <f>IF(Tableau3384[[#This Row],[Date du paiement]]="",IF(Tableau3384[[#This Row],[jours jusqu''à l''écheance]]&gt;0,Tableau3384[[#This Row],[Montant
CHF]],""),"")</f>
        <v/>
      </c>
      <c r="R573" s="298" t="str">
        <f>IF(Tableau3384[[#This Row],[Date du paiement]]="",IF(Tableau3384[[#This Row],[jours jusqu''à l''écheance]]-($B$4-$B$11-1)&gt;0,Tableau3384[[#This Row],[Montant
CHF]],""),"")</f>
        <v/>
      </c>
      <c r="S573" s="142"/>
      <c r="T573" s="168" t="str">
        <f>IF(Tableau3384[[#This Row],[Paiements prevus]]="oui",Tableau3384[[#This Row],[Montant prevu à payer CH]],"")</f>
        <v/>
      </c>
      <c r="U573" s="177"/>
      <c r="V573" s="192" t="s">
        <v>738</v>
      </c>
      <c r="W573" s="190"/>
      <c r="X573" s="187">
        <v>45565</v>
      </c>
      <c r="Y573" s="181" t="s">
        <v>58</v>
      </c>
      <c r="Z573" s="120" t="str">
        <f>IF(Tableau3384[[#This Row],[Méthode du paiement]]="Mastercard","OUI","")</f>
        <v/>
      </c>
      <c r="AA573" s="180" t="s">
        <v>14</v>
      </c>
      <c r="AB573" s="180" t="s">
        <v>1487</v>
      </c>
    </row>
    <row r="574" spans="1:28" s="184" customFormat="1" hidden="1" x14ac:dyDescent="0.25">
      <c r="A574" s="182" t="s">
        <v>1484</v>
      </c>
      <c r="B574" s="185">
        <v>45535</v>
      </c>
      <c r="C574" s="185">
        <v>45535</v>
      </c>
      <c r="D574" s="186" t="s">
        <v>94</v>
      </c>
      <c r="E574" s="183">
        <f>172.57-127.55</f>
        <v>45.019999999999996</v>
      </c>
      <c r="F574" s="195">
        <v>8.1</v>
      </c>
      <c r="G574" s="193"/>
      <c r="H574" s="136">
        <f>Tableau3384[[#This Row],[Montant
CHF]]+Tableau3384[[#This Row],[Abzug/Spesen
CHF]]</f>
        <v>45.019999999999996</v>
      </c>
      <c r="I574" s="188"/>
      <c r="J574" s="189"/>
      <c r="K574" s="189"/>
      <c r="L574" s="298"/>
      <c r="M574" s="194"/>
      <c r="N574" s="185">
        <v>45565</v>
      </c>
      <c r="O574" s="282" t="str">
        <f>IF(Tableau3384[[#This Row],[Date du paiement]]&gt;0,"",Tableau3384[[#This Row],[Montant
CHF]])</f>
        <v/>
      </c>
      <c r="P574" s="287" t="str">
        <f>IF(Tableau3384[[#This Row],[Date du paiement]]="",$B$4-Tableau3384[[#This Row],[Écheance]],"")</f>
        <v/>
      </c>
      <c r="Q574" s="168" t="str">
        <f>IF(Tableau3384[[#This Row],[Date du paiement]]="",IF(Tableau3384[[#This Row],[jours jusqu''à l''écheance]]&gt;0,Tableau3384[[#This Row],[Montant
CHF]],""),"")</f>
        <v/>
      </c>
      <c r="R574" s="298" t="str">
        <f>IF(Tableau3384[[#This Row],[Date du paiement]]="",IF(Tableau3384[[#This Row],[jours jusqu''à l''écheance]]-($B$4-$B$11-1)&gt;0,Tableau3384[[#This Row],[Montant
CHF]],""),"")</f>
        <v/>
      </c>
      <c r="S574" s="142"/>
      <c r="T574" s="168" t="str">
        <f>IF(Tableau3384[[#This Row],[Paiements prevus]]="oui",Tableau3384[[#This Row],[Montant prevu à payer CH]],"")</f>
        <v/>
      </c>
      <c r="U574" s="177"/>
      <c r="V574" s="192" t="s">
        <v>735</v>
      </c>
      <c r="W574" s="190"/>
      <c r="X574" s="187">
        <v>45565</v>
      </c>
      <c r="Y574" s="181" t="s">
        <v>58</v>
      </c>
      <c r="Z574" s="120" t="str">
        <f>IF(Tableau3384[[#This Row],[Méthode du paiement]]="Mastercard","OUI","")</f>
        <v/>
      </c>
      <c r="AA574" s="180" t="s">
        <v>102</v>
      </c>
      <c r="AB574" s="180" t="s">
        <v>102</v>
      </c>
    </row>
    <row r="575" spans="1:28" s="184" customFormat="1" hidden="1" x14ac:dyDescent="0.25">
      <c r="A575" s="182" t="s">
        <v>1453</v>
      </c>
      <c r="B575" s="185">
        <v>45535</v>
      </c>
      <c r="C575" s="185">
        <v>45537</v>
      </c>
      <c r="D575" s="186" t="s">
        <v>120</v>
      </c>
      <c r="E575" s="183">
        <v>600</v>
      </c>
      <c r="F575" s="195">
        <v>0</v>
      </c>
      <c r="G575" s="193"/>
      <c r="H575" s="136">
        <f>Tableau3384[[#This Row],[Montant
CHF]]+Tableau3384[[#This Row],[Abzug/Spesen
CHF]]</f>
        <v>600</v>
      </c>
      <c r="I575" s="188"/>
      <c r="J575" s="189"/>
      <c r="K575" s="189"/>
      <c r="L575" s="298"/>
      <c r="M575" s="194"/>
      <c r="N575" s="185">
        <v>45565</v>
      </c>
      <c r="O575" s="282" t="str">
        <f>IF(Tableau3384[[#This Row],[Date du paiement]]&gt;0,"",Tableau3384[[#This Row],[Montant
CHF]])</f>
        <v/>
      </c>
      <c r="P575" s="287" t="str">
        <f>IF(Tableau3384[[#This Row],[Date du paiement]]="",$B$4-Tableau3384[[#This Row],[Écheance]],"")</f>
        <v/>
      </c>
      <c r="Q575" s="168" t="str">
        <f>IF(Tableau3384[[#This Row],[Date du paiement]]="",IF(Tableau3384[[#This Row],[jours jusqu''à l''écheance]]&gt;0,Tableau3384[[#This Row],[Montant
CHF]],""),"")</f>
        <v/>
      </c>
      <c r="R575" s="298" t="str">
        <f>IF(Tableau3384[[#This Row],[Date du paiement]]="",IF(Tableau3384[[#This Row],[jours jusqu''à l''écheance]]-($B$4-$B$11-1)&gt;0,Tableau3384[[#This Row],[Montant
CHF]],""),"")</f>
        <v/>
      </c>
      <c r="S575" s="142"/>
      <c r="T575" s="168" t="str">
        <f>IF(Tableau3384[[#This Row],[Paiements prevus]]="oui",Tableau3384[[#This Row],[Montant prevu à payer CH]],"")</f>
        <v/>
      </c>
      <c r="U575" s="177"/>
      <c r="V575" s="192" t="s">
        <v>735</v>
      </c>
      <c r="W575" s="190"/>
      <c r="X575" s="187">
        <v>45565</v>
      </c>
      <c r="Y575" s="181" t="s">
        <v>58</v>
      </c>
      <c r="Z575" s="120" t="str">
        <f>IF(Tableau3384[[#This Row],[Méthode du paiement]]="Mastercard","OUI","")</f>
        <v/>
      </c>
      <c r="AA575" s="180" t="s">
        <v>43</v>
      </c>
      <c r="AB575" s="180" t="s">
        <v>710</v>
      </c>
    </row>
    <row r="576" spans="1:28" s="184" customFormat="1" hidden="1" x14ac:dyDescent="0.25">
      <c r="A576" s="182" t="s">
        <v>1474</v>
      </c>
      <c r="B576" s="185">
        <v>45535</v>
      </c>
      <c r="C576" s="185">
        <v>45540</v>
      </c>
      <c r="D576" s="186" t="s">
        <v>452</v>
      </c>
      <c r="E576" s="183">
        <v>221.05</v>
      </c>
      <c r="F576" s="195">
        <v>8.1</v>
      </c>
      <c r="G576" s="193"/>
      <c r="H576" s="136">
        <f>Tableau3384[[#This Row],[Montant
CHF]]+Tableau3384[[#This Row],[Abzug/Spesen
CHF]]</f>
        <v>221.05</v>
      </c>
      <c r="I576" s="188"/>
      <c r="J576" s="189"/>
      <c r="K576" s="189"/>
      <c r="L576" s="298"/>
      <c r="M576" s="194"/>
      <c r="N576" s="185">
        <v>45565</v>
      </c>
      <c r="O576" s="282" t="str">
        <f>IF(Tableau3384[[#This Row],[Date du paiement]]&gt;0,"",Tableau3384[[#This Row],[Montant
CHF]])</f>
        <v/>
      </c>
      <c r="P576" s="287" t="str">
        <f>IF(Tableau3384[[#This Row],[Date du paiement]]="",$B$4-Tableau3384[[#This Row],[Écheance]],"")</f>
        <v/>
      </c>
      <c r="Q576" s="168" t="str">
        <f>IF(Tableau3384[[#This Row],[Date du paiement]]="",IF(Tableau3384[[#This Row],[jours jusqu''à l''écheance]]&gt;0,Tableau3384[[#This Row],[Montant
CHF]],""),"")</f>
        <v/>
      </c>
      <c r="R576" s="298" t="str">
        <f>IF(Tableau3384[[#This Row],[Date du paiement]]="",IF(Tableau3384[[#This Row],[jours jusqu''à l''écheance]]-($B$4-$B$11-1)&gt;0,Tableau3384[[#This Row],[Montant
CHF]],""),"")</f>
        <v/>
      </c>
      <c r="S576" s="142"/>
      <c r="T576" s="168" t="str">
        <f>IF(Tableau3384[[#This Row],[Paiements prevus]]="oui",Tableau3384[[#This Row],[Montant prevu à payer CH]],"")</f>
        <v/>
      </c>
      <c r="U576" s="177"/>
      <c r="V576" s="192" t="s">
        <v>738</v>
      </c>
      <c r="W576" s="190"/>
      <c r="X576" s="187">
        <v>45565</v>
      </c>
      <c r="Y576" s="181" t="s">
        <v>58</v>
      </c>
      <c r="Z576" s="120" t="str">
        <f>IF(Tableau3384[[#This Row],[Méthode du paiement]]="Mastercard","OUI","")</f>
        <v/>
      </c>
      <c r="AA576" s="180" t="s">
        <v>294</v>
      </c>
      <c r="AB576" s="180" t="s">
        <v>1475</v>
      </c>
    </row>
    <row r="577" spans="1:28" s="184" customFormat="1" hidden="1" x14ac:dyDescent="0.25">
      <c r="A577" s="182" t="s">
        <v>1468</v>
      </c>
      <c r="B577" s="185">
        <v>45535</v>
      </c>
      <c r="C577" s="185">
        <v>45541</v>
      </c>
      <c r="D577" s="186" t="s">
        <v>162</v>
      </c>
      <c r="E577" s="183">
        <v>306.55</v>
      </c>
      <c r="F577" s="195">
        <v>8.1</v>
      </c>
      <c r="G577" s="193"/>
      <c r="H577" s="136">
        <f>Tableau3384[[#This Row],[Montant
CHF]]+Tableau3384[[#This Row],[Abzug/Spesen
CHF]]</f>
        <v>306.55</v>
      </c>
      <c r="I577" s="188"/>
      <c r="J577" s="189"/>
      <c r="K577" s="189"/>
      <c r="L577" s="298"/>
      <c r="M577" s="194"/>
      <c r="N577" s="185">
        <v>45565</v>
      </c>
      <c r="O577" s="282" t="str">
        <f>IF(Tableau3384[[#This Row],[Date du paiement]]&gt;0,"",Tableau3384[[#This Row],[Montant
CHF]])</f>
        <v/>
      </c>
      <c r="P577" s="287" t="str">
        <f>IF(Tableau3384[[#This Row],[Date du paiement]]="",$B$4-Tableau3384[[#This Row],[Écheance]],"")</f>
        <v/>
      </c>
      <c r="Q577" s="168" t="str">
        <f>IF(Tableau3384[[#This Row],[Date du paiement]]="",IF(Tableau3384[[#This Row],[jours jusqu''à l''écheance]]&gt;0,Tableau3384[[#This Row],[Montant
CHF]],""),"")</f>
        <v/>
      </c>
      <c r="R577" s="298" t="str">
        <f>IF(Tableau3384[[#This Row],[Date du paiement]]="",IF(Tableau3384[[#This Row],[jours jusqu''à l''écheance]]-($B$4-$B$11-1)&gt;0,Tableau3384[[#This Row],[Montant
CHF]],""),"")</f>
        <v/>
      </c>
      <c r="S577" s="142"/>
      <c r="T577" s="168" t="str">
        <f>IF(Tableau3384[[#This Row],[Paiements prevus]]="oui",Tableau3384[[#This Row],[Montant prevu à payer CH]],"")</f>
        <v/>
      </c>
      <c r="U577" s="177"/>
      <c r="V577" s="192" t="s">
        <v>735</v>
      </c>
      <c r="W577" s="190"/>
      <c r="X577" s="187">
        <v>45565</v>
      </c>
      <c r="Y577" s="181" t="s">
        <v>58</v>
      </c>
      <c r="Z577" s="120" t="str">
        <f>IF(Tableau3384[[#This Row],[Méthode du paiement]]="Mastercard","OUI","")</f>
        <v/>
      </c>
      <c r="AA577" s="180" t="s">
        <v>43</v>
      </c>
      <c r="AB577" s="180" t="s">
        <v>710</v>
      </c>
    </row>
    <row r="578" spans="1:28" s="184" customFormat="1" hidden="1" x14ac:dyDescent="0.25">
      <c r="A578" s="182" t="s">
        <v>1</v>
      </c>
      <c r="B578" s="185">
        <v>45535</v>
      </c>
      <c r="C578" s="185">
        <v>45547</v>
      </c>
      <c r="D578" s="186" t="s">
        <v>1356</v>
      </c>
      <c r="E578" s="183">
        <v>1137.8800000000001</v>
      </c>
      <c r="F578" s="195" t="s">
        <v>0</v>
      </c>
      <c r="G578" s="193"/>
      <c r="H578" s="136">
        <f>Tableau3384[[#This Row],[Montant
CHF]]+Tableau3384[[#This Row],[Abzug/Spesen
CHF]]</f>
        <v>1137.8800000000001</v>
      </c>
      <c r="I578" s="188"/>
      <c r="J578" s="189"/>
      <c r="K578" s="189"/>
      <c r="L578" s="298"/>
      <c r="M578" s="194"/>
      <c r="N578" s="185">
        <v>45565</v>
      </c>
      <c r="O578" s="282" t="str">
        <f>IF(Tableau3384[[#This Row],[Date du paiement]]&gt;0,"",Tableau3384[[#This Row],[Montant
CHF]])</f>
        <v/>
      </c>
      <c r="P578" s="287" t="str">
        <f>IF(Tableau3384[[#This Row],[Date du paiement]]="",$B$4-Tableau3384[[#This Row],[Écheance]],"")</f>
        <v/>
      </c>
      <c r="Q578" s="168" t="str">
        <f>IF(Tableau3384[[#This Row],[Date du paiement]]="",IF(Tableau3384[[#This Row],[jours jusqu''à l''écheance]]&gt;0,Tableau3384[[#This Row],[Montant
CHF]],""),"")</f>
        <v/>
      </c>
      <c r="R578" s="298" t="str">
        <f>IF(Tableau3384[[#This Row],[Date du paiement]]="",IF(Tableau3384[[#This Row],[jours jusqu''à l''écheance]]-($B$4-$B$11-1)&gt;0,Tableau3384[[#This Row],[Montant
CHF]],""),"")</f>
        <v/>
      </c>
      <c r="S578" s="142"/>
      <c r="T578" s="168" t="str">
        <f>IF(Tableau3384[[#This Row],[Paiements prevus]]="oui",Tableau3384[[#This Row],[Montant prevu à payer CH]],"")</f>
        <v/>
      </c>
      <c r="U578" s="177"/>
      <c r="V578" s="192"/>
      <c r="W578" s="480" t="s">
        <v>1512</v>
      </c>
      <c r="X578" s="187">
        <v>45565</v>
      </c>
      <c r="Y578" s="181" t="s">
        <v>58</v>
      </c>
      <c r="Z578" s="500" t="str">
        <f>IF(Tableau3384[[#This Row],[Méthode du paiement]]="Mastercard","OUI","")</f>
        <v/>
      </c>
      <c r="AA578" s="180" t="s">
        <v>43</v>
      </c>
      <c r="AB578" s="180" t="s">
        <v>1511</v>
      </c>
    </row>
    <row r="579" spans="1:28" s="184" customFormat="1" hidden="1" x14ac:dyDescent="0.25">
      <c r="A579" s="182">
        <v>1245742</v>
      </c>
      <c r="B579" s="185">
        <v>45536</v>
      </c>
      <c r="C579" s="185">
        <v>45292</v>
      </c>
      <c r="D579" s="186" t="s">
        <v>2</v>
      </c>
      <c r="E579" s="183">
        <v>1523.55</v>
      </c>
      <c r="F579" s="195">
        <v>8.1</v>
      </c>
      <c r="G579" s="193"/>
      <c r="H579" s="136">
        <f>Tableau3384[[#This Row],[Montant
CHF]]+Tableau3384[[#This Row],[Abzug/Spesen
CHF]]</f>
        <v>1523.55</v>
      </c>
      <c r="I579" s="188"/>
      <c r="J579" s="189"/>
      <c r="K579" s="189"/>
      <c r="L579" s="298"/>
      <c r="M579" s="194"/>
      <c r="N579" s="185">
        <v>45539</v>
      </c>
      <c r="O579" s="282" t="str">
        <f>IF(Tableau3384[[#This Row],[Date du paiement]]&gt;0,"",Tableau3384[[#This Row],[Montant
CHF]])</f>
        <v/>
      </c>
      <c r="P579" s="474" t="str">
        <f>IF(Tableau3384[[#This Row],[Date du paiement]]="",$B$4-Tableau3384[[#This Row],[Écheance]],"")</f>
        <v/>
      </c>
      <c r="Q579" s="168" t="str">
        <f>IF(Tableau3384[[#This Row],[Date du paiement]]="",IF(Tableau3384[[#This Row],[jours jusqu''à l''écheance]]&gt;0,Tableau3384[[#This Row],[Montant
CHF]],""),"")</f>
        <v/>
      </c>
      <c r="R579" s="298" t="str">
        <f>IF(Tableau3384[[#This Row],[Date du paiement]]="",IF(Tableau3384[[#This Row],[jours jusqu''à l''écheance]]-($B$4-$B$11-1)&gt;0,Tableau3384[[#This Row],[Montant
CHF]],""),"")</f>
        <v/>
      </c>
      <c r="S579" s="142"/>
      <c r="T579" s="168" t="str">
        <f>IF(Tableau3384[[#This Row],[Paiements prevus]]="oui",Tableau3384[[#This Row],[Montant prevu à payer CH]],"")</f>
        <v/>
      </c>
      <c r="U579" s="177"/>
      <c r="V579" s="192" t="s">
        <v>735</v>
      </c>
      <c r="W579" s="190"/>
      <c r="X579" s="187">
        <v>45539</v>
      </c>
      <c r="Y579" s="181" t="s">
        <v>58</v>
      </c>
      <c r="Z579" s="120" t="str">
        <f>IF(Tableau3384[[#This Row],[Méthode du paiement]]="Mastercard","OUI","")</f>
        <v/>
      </c>
      <c r="AA579" s="180" t="s">
        <v>1162</v>
      </c>
      <c r="AB579" s="180" t="s">
        <v>711</v>
      </c>
    </row>
    <row r="580" spans="1:28" s="184" customFormat="1" hidden="1" x14ac:dyDescent="0.25">
      <c r="A580" s="182" t="s">
        <v>632</v>
      </c>
      <c r="B580" s="185">
        <v>45536</v>
      </c>
      <c r="C580" s="185">
        <v>45292</v>
      </c>
      <c r="D580" s="186" t="s">
        <v>3</v>
      </c>
      <c r="E580" s="183">
        <v>3438</v>
      </c>
      <c r="F580" s="195">
        <v>0</v>
      </c>
      <c r="G580" s="193"/>
      <c r="H580" s="136">
        <f>Tableau3384[[#This Row],[Montant
CHF]]+Tableau3384[[#This Row],[Abzug/Spesen
CHF]]</f>
        <v>3438</v>
      </c>
      <c r="I580" s="188"/>
      <c r="J580" s="189"/>
      <c r="K580" s="189"/>
      <c r="L580" s="298"/>
      <c r="M580" s="194"/>
      <c r="N580" s="185">
        <v>45536</v>
      </c>
      <c r="O580" s="282" t="str">
        <f>IF(Tableau3384[[#This Row],[Date du paiement]]&gt;0,"",Tableau3384[[#This Row],[Montant
CHF]])</f>
        <v/>
      </c>
      <c r="P580" s="474" t="str">
        <f>IF(Tableau3384[[#This Row],[Date du paiement]]="",$B$4-Tableau3384[[#This Row],[Écheance]],"")</f>
        <v/>
      </c>
      <c r="Q580" s="168" t="str">
        <f>IF(Tableau3384[[#This Row],[Date du paiement]]="",IF(Tableau3384[[#This Row],[jours jusqu''à l''écheance]]&gt;0,Tableau3384[[#This Row],[Montant
CHF]],""),"")</f>
        <v/>
      </c>
      <c r="R580" s="298" t="str">
        <f>IF(Tableau3384[[#This Row],[Date du paiement]]="",IF(Tableau3384[[#This Row],[jours jusqu''à l''écheance]]-($B$4-$B$11-1)&gt;0,Tableau3384[[#This Row],[Montant
CHF]],""),"")</f>
        <v/>
      </c>
      <c r="S580" s="142"/>
      <c r="T580" s="168" t="str">
        <f>IF(Tableau3384[[#This Row],[Paiements prevus]]="oui",Tableau3384[[#This Row],[Montant prevu à payer CH]],"")</f>
        <v/>
      </c>
      <c r="U580" s="177"/>
      <c r="V580" s="192" t="s">
        <v>735</v>
      </c>
      <c r="W580" s="444"/>
      <c r="X580" s="187">
        <v>45537</v>
      </c>
      <c r="Y580" s="181" t="s">
        <v>58</v>
      </c>
      <c r="Z580" s="447" t="str">
        <f>IF(Tableau3384[[#This Row],[Méthode du paiement]]="Mastercard","OUI","")</f>
        <v/>
      </c>
      <c r="AA580" s="180" t="s">
        <v>6</v>
      </c>
      <c r="AB580" s="180" t="s">
        <v>711</v>
      </c>
    </row>
    <row r="581" spans="1:28" s="184" customFormat="1" hidden="1" x14ac:dyDescent="0.25">
      <c r="A581" s="182">
        <v>214112</v>
      </c>
      <c r="B581" s="185">
        <v>45536</v>
      </c>
      <c r="C581" s="185">
        <v>45425</v>
      </c>
      <c r="D581" s="186" t="s">
        <v>7</v>
      </c>
      <c r="E581" s="183">
        <v>11585</v>
      </c>
      <c r="F581" s="195">
        <v>0</v>
      </c>
      <c r="G581" s="193"/>
      <c r="H581" s="136">
        <f>Tableau3384[[#This Row],[Montant
CHF]]+Tableau3384[[#This Row],[Abzug/Spesen
CHF]]</f>
        <v>11585</v>
      </c>
      <c r="I581" s="188"/>
      <c r="J581" s="189"/>
      <c r="K581" s="189"/>
      <c r="L581" s="298"/>
      <c r="M581" s="194"/>
      <c r="N581" s="185">
        <v>45536</v>
      </c>
      <c r="O581" s="282" t="str">
        <f>IF(Tableau3384[[#This Row],[Date du paiement]]&gt;0,"",Tableau3384[[#This Row],[Montant
CHF]])</f>
        <v/>
      </c>
      <c r="P581" s="276" t="str">
        <f>IF(Tableau3384[[#This Row],[Date du paiement]]="",$B$4-Tableau3384[[#This Row],[Écheance]],"")</f>
        <v/>
      </c>
      <c r="Q581" s="168" t="str">
        <f>IF(Tableau3384[[#This Row],[Date du paiement]]="",IF(Tableau3384[[#This Row],[jours jusqu''à l''écheance]]&gt;0,Tableau3384[[#This Row],[Montant
CHF]],""),"")</f>
        <v/>
      </c>
      <c r="R581" s="298" t="str">
        <f>IF(Tableau3384[[#This Row],[Date du paiement]]="",IF(Tableau3384[[#This Row],[jours jusqu''à l''écheance]]-($B$4-$B$11-1)&gt;0,Tableau3384[[#This Row],[Montant
CHF]],""),"")</f>
        <v/>
      </c>
      <c r="S581" s="142"/>
      <c r="T581" s="168" t="str">
        <f>IF(Tableau3384[[#This Row],[Paiements prevus]]="oui",Tableau3384[[#This Row],[Montant prevu à payer CH]],"")</f>
        <v/>
      </c>
      <c r="U581" s="177"/>
      <c r="V581" s="192" t="s">
        <v>735</v>
      </c>
      <c r="W581" s="190"/>
      <c r="X581" s="187">
        <v>45537</v>
      </c>
      <c r="Y581" s="181" t="s">
        <v>58</v>
      </c>
      <c r="Z581" s="120" t="str">
        <f>IF(Tableau3384[[#This Row],[Méthode du paiement]]="Mastercard","OUI","")</f>
        <v/>
      </c>
      <c r="AA581" s="180" t="s">
        <v>6</v>
      </c>
      <c r="AB581" s="180" t="s">
        <v>711</v>
      </c>
    </row>
    <row r="582" spans="1:28" s="184" customFormat="1" hidden="1" x14ac:dyDescent="0.25">
      <c r="A582" s="182" t="s">
        <v>1438</v>
      </c>
      <c r="B582" s="185">
        <v>45536</v>
      </c>
      <c r="C582" s="185">
        <v>45537</v>
      </c>
      <c r="D582" s="186" t="s">
        <v>46</v>
      </c>
      <c r="E582" s="183">
        <v>597.79</v>
      </c>
      <c r="F582" s="195">
        <v>8.1</v>
      </c>
      <c r="G582" s="193"/>
      <c r="H582" s="136">
        <f>Tableau3384[[#This Row],[Montant
CHF]]+Tableau3384[[#This Row],[Abzug/Spesen
CHF]]</f>
        <v>597.79</v>
      </c>
      <c r="I582" s="188"/>
      <c r="J582" s="189"/>
      <c r="K582" s="189"/>
      <c r="L582" s="298"/>
      <c r="M582" s="194"/>
      <c r="N582" s="185">
        <v>45566</v>
      </c>
      <c r="O582" s="282" t="str">
        <f>IF(Tableau3384[[#This Row],[Date du paiement]]&gt;0,"",Tableau3384[[#This Row],[Montant
CHF]])</f>
        <v/>
      </c>
      <c r="P582" s="475" t="str">
        <f>IF(Tableau3384[[#This Row],[Date du paiement]]="",$B$4-Tableau3384[[#This Row],[Écheance]],"")</f>
        <v/>
      </c>
      <c r="Q582" s="168" t="str">
        <f>IF(Tableau3384[[#This Row],[Date du paiement]]="",IF(Tableau3384[[#This Row],[jours jusqu''à l''écheance]]&gt;0,Tableau3384[[#This Row],[Montant
CHF]],""),"")</f>
        <v/>
      </c>
      <c r="R582" s="298" t="str">
        <f>IF(Tableau3384[[#This Row],[Date du paiement]]="",IF(Tableau3384[[#This Row],[jours jusqu''à l''écheance]]-($B$4-$B$11-1)&gt;0,Tableau3384[[#This Row],[Montant
CHF]],""),"")</f>
        <v/>
      </c>
      <c r="S582" s="142"/>
      <c r="T582" s="168" t="str">
        <f>IF(Tableau3384[[#This Row],[Paiements prevus]]="oui",Tableau3384[[#This Row],[Montant prevu à payer CH]],"")</f>
        <v/>
      </c>
      <c r="U582" s="177"/>
      <c r="V582" s="192" t="s">
        <v>735</v>
      </c>
      <c r="W582" s="190"/>
      <c r="X582" s="187">
        <v>45566</v>
      </c>
      <c r="Y582" s="181" t="s">
        <v>58</v>
      </c>
      <c r="Z582" s="120" t="str">
        <f>IF(Tableau3384[[#This Row],[Méthode du paiement]]="Mastercard","OUI","")</f>
        <v/>
      </c>
      <c r="AA582" s="180" t="s">
        <v>30</v>
      </c>
      <c r="AB582" s="180" t="s">
        <v>711</v>
      </c>
    </row>
    <row r="583" spans="1:28" s="184" customFormat="1" hidden="1" x14ac:dyDescent="0.25">
      <c r="A583" s="182" t="s">
        <v>1445</v>
      </c>
      <c r="B583" s="185">
        <v>45536</v>
      </c>
      <c r="C583" s="185">
        <v>45538</v>
      </c>
      <c r="D583" s="186" t="s">
        <v>220</v>
      </c>
      <c r="E583" s="183">
        <v>4925.6499999999996</v>
      </c>
      <c r="F583" s="195">
        <v>8.1</v>
      </c>
      <c r="G583" s="193"/>
      <c r="H583" s="136">
        <f>Tableau3384[[#This Row],[Montant
CHF]]+Tableau3384[[#This Row],[Abzug/Spesen
CHF]]</f>
        <v>4925.6499999999996</v>
      </c>
      <c r="I583" s="188"/>
      <c r="J583" s="189"/>
      <c r="K583" s="189"/>
      <c r="L583" s="298"/>
      <c r="M583" s="194"/>
      <c r="N583" s="185">
        <v>45565</v>
      </c>
      <c r="O583" s="282" t="str">
        <f>IF(Tableau3384[[#This Row],[Date du paiement]]&gt;0,"",Tableau3384[[#This Row],[Montant
CHF]])</f>
        <v/>
      </c>
      <c r="P583" s="475" t="str">
        <f>IF(Tableau3384[[#This Row],[Date du paiement]]="",$B$4-Tableau3384[[#This Row],[Écheance]],"")</f>
        <v/>
      </c>
      <c r="Q583" s="168" t="str">
        <f>IF(Tableau3384[[#This Row],[Date du paiement]]="",IF(Tableau3384[[#This Row],[jours jusqu''à l''écheance]]&gt;0,Tableau3384[[#This Row],[Montant
CHF]],""),"")</f>
        <v/>
      </c>
      <c r="R583" s="298" t="str">
        <f>IF(Tableau3384[[#This Row],[Date du paiement]]="",IF(Tableau3384[[#This Row],[jours jusqu''à l''écheance]]-($B$4-$B$11-1)&gt;0,Tableau3384[[#This Row],[Montant
CHF]],""),"")</f>
        <v/>
      </c>
      <c r="S583" s="142"/>
      <c r="T583" s="168" t="str">
        <f>IF(Tableau3384[[#This Row],[Paiements prevus]]="oui",Tableau3384[[#This Row],[Montant prevu à payer CH]],"")</f>
        <v/>
      </c>
      <c r="U583" s="177"/>
      <c r="V583" s="192" t="s">
        <v>735</v>
      </c>
      <c r="W583" s="190"/>
      <c r="X583" s="187">
        <v>45566</v>
      </c>
      <c r="Y583" s="181" t="s">
        <v>58</v>
      </c>
      <c r="Z583" s="120" t="str">
        <f>IF(Tableau3384[[#This Row],[Méthode du paiement]]="Mastercard","OUI","")</f>
        <v/>
      </c>
      <c r="AA583" s="180" t="s">
        <v>221</v>
      </c>
      <c r="AB583" s="180" t="s">
        <v>710</v>
      </c>
    </row>
    <row r="584" spans="1:28" s="184" customFormat="1" hidden="1" x14ac:dyDescent="0.25">
      <c r="A584" s="182" t="s">
        <v>1452</v>
      </c>
      <c r="B584" s="185">
        <v>45536</v>
      </c>
      <c r="C584" s="185">
        <v>45538</v>
      </c>
      <c r="D584" s="186" t="s">
        <v>50</v>
      </c>
      <c r="E584" s="183">
        <v>1514.6</v>
      </c>
      <c r="F584" s="195">
        <v>8.1</v>
      </c>
      <c r="G584" s="193"/>
      <c r="H584" s="136">
        <f>Tableau3384[[#This Row],[Montant
CHF]]+Tableau3384[[#This Row],[Abzug/Spesen
CHF]]</f>
        <v>1514.6</v>
      </c>
      <c r="I584" s="188"/>
      <c r="J584" s="189"/>
      <c r="K584" s="189"/>
      <c r="L584" s="298"/>
      <c r="M584" s="194"/>
      <c r="N584" s="185">
        <v>45565</v>
      </c>
      <c r="O584" s="282" t="str">
        <f>IF(Tableau3384[[#This Row],[Date du paiement]]&gt;0,"",Tableau3384[[#This Row],[Montant
CHF]])</f>
        <v/>
      </c>
      <c r="P584" s="287" t="str">
        <f>IF(Tableau3384[[#This Row],[Date du paiement]]="",$B$4-Tableau3384[[#This Row],[Écheance]],"")</f>
        <v/>
      </c>
      <c r="Q584" s="168" t="str">
        <f>IF(Tableau3384[[#This Row],[Date du paiement]]="",IF(Tableau3384[[#This Row],[jours jusqu''à l''écheance]]&gt;0,Tableau3384[[#This Row],[Montant
CHF]],""),"")</f>
        <v/>
      </c>
      <c r="R584" s="298" t="str">
        <f>IF(Tableau3384[[#This Row],[Date du paiement]]="",IF(Tableau3384[[#This Row],[jours jusqu''à l''écheance]]-($B$4-$B$11-1)&gt;0,Tableau3384[[#This Row],[Montant
CHF]],""),"")</f>
        <v/>
      </c>
      <c r="S584" s="142"/>
      <c r="T584" s="168" t="str">
        <f>IF(Tableau3384[[#This Row],[Paiements prevus]]="oui",Tableau3384[[#This Row],[Montant prevu à payer CH]],"")</f>
        <v/>
      </c>
      <c r="U584" s="177"/>
      <c r="V584" s="192" t="s">
        <v>735</v>
      </c>
      <c r="W584" s="190"/>
      <c r="X584" s="187">
        <v>45566</v>
      </c>
      <c r="Y584" s="181" t="s">
        <v>58</v>
      </c>
      <c r="Z584" s="120" t="str">
        <f>IF(Tableau3384[[#This Row],[Méthode du paiement]]="Mastercard","OUI","")</f>
        <v/>
      </c>
      <c r="AA584" s="180" t="s">
        <v>1431</v>
      </c>
      <c r="AB584" s="180" t="s">
        <v>710</v>
      </c>
    </row>
    <row r="585" spans="1:28" s="184" customFormat="1" hidden="1" x14ac:dyDescent="0.25">
      <c r="A585" s="182" t="s">
        <v>1463</v>
      </c>
      <c r="B585" s="185">
        <v>45536</v>
      </c>
      <c r="C585" s="185">
        <v>45539</v>
      </c>
      <c r="D585" s="186" t="s">
        <v>130</v>
      </c>
      <c r="E585" s="183">
        <v>72.95</v>
      </c>
      <c r="F585" s="195">
        <v>8.1</v>
      </c>
      <c r="G585" s="193"/>
      <c r="H585" s="136">
        <f>Tableau3384[[#This Row],[Montant
CHF]]+Tableau3384[[#This Row],[Abzug/Spesen
CHF]]</f>
        <v>72.95</v>
      </c>
      <c r="I585" s="188"/>
      <c r="J585" s="189"/>
      <c r="K585" s="189"/>
      <c r="L585" s="298"/>
      <c r="M585" s="194" t="s">
        <v>1281</v>
      </c>
      <c r="N585" s="185">
        <v>45565</v>
      </c>
      <c r="O585" s="282" t="str">
        <f>IF(Tableau3384[[#This Row],[Date du paiement]]&gt;0,"",Tableau3384[[#This Row],[Montant
CHF]])</f>
        <v/>
      </c>
      <c r="P585" s="287" t="str">
        <f>IF(Tableau3384[[#This Row],[Date du paiement]]="",$B$4-Tableau3384[[#This Row],[Écheance]],"")</f>
        <v/>
      </c>
      <c r="Q585" s="168" t="str">
        <f>IF(Tableau3384[[#This Row],[Date du paiement]]="",IF(Tableau3384[[#This Row],[jours jusqu''à l''écheance]]&gt;0,Tableau3384[[#This Row],[Montant
CHF]],""),"")</f>
        <v/>
      </c>
      <c r="R585" s="298" t="str">
        <f>IF(Tableau3384[[#This Row],[Date du paiement]]="",IF(Tableau3384[[#This Row],[jours jusqu''à l''écheance]]-($B$4-$B$11-1)&gt;0,Tableau3384[[#This Row],[Montant
CHF]],""),"")</f>
        <v/>
      </c>
      <c r="S585" s="142"/>
      <c r="T585" s="168" t="str">
        <f>IF(Tableau3384[[#This Row],[Paiements prevus]]="oui",Tableau3384[[#This Row],[Montant prevu à payer CH]],"")</f>
        <v/>
      </c>
      <c r="U585" s="177"/>
      <c r="V585" s="192" t="s">
        <v>735</v>
      </c>
      <c r="W585" s="190"/>
      <c r="X585" s="187">
        <v>45566</v>
      </c>
      <c r="Y585" s="181" t="s">
        <v>58</v>
      </c>
      <c r="Z585" s="120" t="str">
        <f>IF(Tableau3384[[#This Row],[Méthode du paiement]]="Mastercard","OUI","")</f>
        <v/>
      </c>
      <c r="AA585" s="180" t="s">
        <v>30</v>
      </c>
      <c r="AB585" s="180" t="s">
        <v>710</v>
      </c>
    </row>
    <row r="586" spans="1:28" s="184" customFormat="1" hidden="1" x14ac:dyDescent="0.25">
      <c r="A586" s="182" t="s">
        <v>1441</v>
      </c>
      <c r="B586" s="185">
        <v>45537</v>
      </c>
      <c r="C586" s="185">
        <v>45538</v>
      </c>
      <c r="D586" s="186" t="s">
        <v>1390</v>
      </c>
      <c r="E586" s="183">
        <v>0</v>
      </c>
      <c r="F586" s="195">
        <v>0</v>
      </c>
      <c r="G586" s="193"/>
      <c r="H586" s="136">
        <f>Tableau3384[[#This Row],[Montant
CHF]]+Tableau3384[[#This Row],[Abzug/Spesen
CHF]]</f>
        <v>0</v>
      </c>
      <c r="I586" s="188"/>
      <c r="J586" s="189"/>
      <c r="K586" s="189"/>
      <c r="L586" s="298"/>
      <c r="M586" s="194" t="s">
        <v>1443</v>
      </c>
      <c r="N586" s="185">
        <v>45537</v>
      </c>
      <c r="O586" s="282" t="str">
        <f>IF(Tableau3384[[#This Row],[Date du paiement]]&gt;0,"",Tableau3384[[#This Row],[Montant
CHF]])</f>
        <v/>
      </c>
      <c r="P586" s="287" t="str">
        <f>IF(Tableau3384[[#This Row],[Date du paiement]]="",$B$4-Tableau3384[[#This Row],[Écheance]],"")</f>
        <v/>
      </c>
      <c r="Q586" s="168" t="str">
        <f>IF(Tableau3384[[#This Row],[Date du paiement]]="",IF(Tableau3384[[#This Row],[jours jusqu''à l''écheance]]&gt;0,Tableau3384[[#This Row],[Montant
CHF]],""),"")</f>
        <v/>
      </c>
      <c r="R586" s="298" t="str">
        <f>IF(Tableau3384[[#This Row],[Date du paiement]]="",IF(Tableau3384[[#This Row],[jours jusqu''à l''écheance]]&gt;0,Tableau3384[[#This Row],[Montant
CHF]],""),"")</f>
        <v/>
      </c>
      <c r="S586" s="142"/>
      <c r="T586" s="168" t="str">
        <f>IF(Tableau3384[[#This Row],[Paiements prevus]]="oui",Tableau3384[[#This Row],[Montant prevu à payer CH]],"")</f>
        <v/>
      </c>
      <c r="U586" s="177"/>
      <c r="V586" s="192"/>
      <c r="W586" s="190"/>
      <c r="X586" s="187">
        <v>45530</v>
      </c>
      <c r="Y586" s="181" t="s">
        <v>1442</v>
      </c>
      <c r="Z586" s="120" t="str">
        <f>IF(Tableau3384[[#This Row],[Méthode du paiement]]="Mastercard","OUI","")</f>
        <v/>
      </c>
      <c r="AA586" s="180" t="s">
        <v>14</v>
      </c>
      <c r="AB586" s="180" t="s">
        <v>1391</v>
      </c>
    </row>
    <row r="587" spans="1:28" s="184" customFormat="1" hidden="1" x14ac:dyDescent="0.25">
      <c r="A587" s="182" t="s">
        <v>1447</v>
      </c>
      <c r="B587" s="185">
        <v>45537</v>
      </c>
      <c r="C587" s="185">
        <v>45538</v>
      </c>
      <c r="D587" s="186" t="s">
        <v>279</v>
      </c>
      <c r="E587" s="183">
        <v>4310</v>
      </c>
      <c r="F587" s="195">
        <v>0</v>
      </c>
      <c r="G587" s="193"/>
      <c r="H587" s="136">
        <f>Tableau3384[[#This Row],[Montant
CHF]]+Tableau3384[[#This Row],[Abzug/Spesen
CHF]]</f>
        <v>4310</v>
      </c>
      <c r="I587" s="188"/>
      <c r="J587" s="189"/>
      <c r="K587" s="189"/>
      <c r="L587" s="298"/>
      <c r="M587" s="194"/>
      <c r="N587" s="452">
        <v>45597</v>
      </c>
      <c r="O587" s="282" t="str">
        <f>IF(Tableau3384[[#This Row],[Date du paiement]]&gt;0,"",Tableau3384[[#This Row],[Montant
CHF]])</f>
        <v/>
      </c>
      <c r="P587" s="287" t="str">
        <f>IF(Tableau3384[[#This Row],[Date du paiement]]="",$B$4-Tableau3384[[#This Row],[Écheance]],"")</f>
        <v/>
      </c>
      <c r="Q587" s="168" t="str">
        <f>IF(Tableau3384[[#This Row],[Date du paiement]]="",IF(Tableau3384[[#This Row],[jours jusqu''à l''écheance]]&gt;0,Tableau3384[[#This Row],[Montant
CHF]],""),"")</f>
        <v/>
      </c>
      <c r="R587" s="298" t="str">
        <f>IF(Tableau3384[[#This Row],[Date du paiement]]="",IF(Tableau3384[[#This Row],[jours jusqu''à l''écheance]]-($B$4-$B$11-1)&gt;0,Tableau3384[[#This Row],[Montant
CHF]],""),"")</f>
        <v/>
      </c>
      <c r="S587" s="142"/>
      <c r="T587" s="168" t="str">
        <f>IF(Tableau3384[[#This Row],[Paiements prevus]]="oui",Tableau3384[[#This Row],[Montant prevu à payer CH]],"")</f>
        <v/>
      </c>
      <c r="U587" s="177"/>
      <c r="V587" s="192" t="s">
        <v>735</v>
      </c>
      <c r="W587" s="190"/>
      <c r="X587" s="187">
        <v>45597</v>
      </c>
      <c r="Y587" s="181" t="s">
        <v>58</v>
      </c>
      <c r="Z587" s="120" t="str">
        <f>IF(Tableau3384[[#This Row],[Méthode du paiement]]="Mastercard","OUI","")</f>
        <v/>
      </c>
      <c r="AA587" s="180" t="s">
        <v>332</v>
      </c>
      <c r="AB587" s="180" t="s">
        <v>1450</v>
      </c>
    </row>
    <row r="588" spans="1:28" s="184" customFormat="1" hidden="1" x14ac:dyDescent="0.25">
      <c r="A588" s="182" t="s">
        <v>1446</v>
      </c>
      <c r="B588" s="185">
        <v>45537</v>
      </c>
      <c r="C588" s="185">
        <v>45538</v>
      </c>
      <c r="D588" s="186" t="s">
        <v>279</v>
      </c>
      <c r="E588" s="183">
        <v>4310</v>
      </c>
      <c r="F588" s="195">
        <v>0</v>
      </c>
      <c r="G588" s="193"/>
      <c r="H588" s="136">
        <f>Tableau3384[[#This Row],[Montant
CHF]]+Tableau3384[[#This Row],[Abzug/Spesen
CHF]]</f>
        <v>4310</v>
      </c>
      <c r="I588" s="188"/>
      <c r="J588" s="189"/>
      <c r="K588" s="189"/>
      <c r="L588" s="298"/>
      <c r="M588" s="194"/>
      <c r="N588" s="185">
        <v>45566</v>
      </c>
      <c r="O588" s="282" t="str">
        <f>IF(Tableau3384[[#This Row],[Date du paiement]]&gt;0,"",Tableau3384[[#This Row],[Montant
CHF]])</f>
        <v/>
      </c>
      <c r="P588" s="287" t="str">
        <f>IF(Tableau3384[[#This Row],[Date du paiement]]="",$B$4-Tableau3384[[#This Row],[Écheance]],"")</f>
        <v/>
      </c>
      <c r="Q588" s="168" t="str">
        <f>IF(Tableau3384[[#This Row],[Date du paiement]]="",IF(Tableau3384[[#This Row],[jours jusqu''à l''écheance]]&gt;0,Tableau3384[[#This Row],[Montant
CHF]],""),"")</f>
        <v/>
      </c>
      <c r="R588" s="298" t="str">
        <f>IF(Tableau3384[[#This Row],[Date du paiement]]="",IF(Tableau3384[[#This Row],[jours jusqu''à l''écheance]]-($B$4-$B$11-1)&gt;0,Tableau3384[[#This Row],[Montant
CHF]],""),"")</f>
        <v/>
      </c>
      <c r="S588" s="142"/>
      <c r="T588" s="168" t="str">
        <f>IF(Tableau3384[[#This Row],[Paiements prevus]]="oui",Tableau3384[[#This Row],[Montant prevu à payer CH]],"")</f>
        <v/>
      </c>
      <c r="U588" s="177"/>
      <c r="V588" s="192" t="s">
        <v>735</v>
      </c>
      <c r="W588" s="190"/>
      <c r="X588" s="187">
        <v>45567</v>
      </c>
      <c r="Y588" s="181" t="s">
        <v>58</v>
      </c>
      <c r="Z588" s="120" t="str">
        <f>IF(Tableau3384[[#This Row],[Méthode du paiement]]="Mastercard","OUI","")</f>
        <v/>
      </c>
      <c r="AA588" s="180" t="s">
        <v>332</v>
      </c>
      <c r="AB588" s="180" t="s">
        <v>1449</v>
      </c>
    </row>
    <row r="589" spans="1:28" s="184" customFormat="1" hidden="1" x14ac:dyDescent="0.25">
      <c r="A589" s="182" t="s">
        <v>1464</v>
      </c>
      <c r="B589" s="185">
        <v>45537</v>
      </c>
      <c r="C589" s="185">
        <v>45539</v>
      </c>
      <c r="D589" s="186" t="s">
        <v>164</v>
      </c>
      <c r="E589" s="183">
        <v>988.2</v>
      </c>
      <c r="F589" s="195">
        <v>0</v>
      </c>
      <c r="G589" s="193"/>
      <c r="H589" s="136">
        <f>Tableau3384[[#This Row],[Montant
CHF]]+Tableau3384[[#This Row],[Abzug/Spesen
CHF]]</f>
        <v>988.2</v>
      </c>
      <c r="I589" s="188"/>
      <c r="J589" s="189"/>
      <c r="K589" s="189"/>
      <c r="L589" s="298"/>
      <c r="M589" s="194" t="s">
        <v>1465</v>
      </c>
      <c r="N589" s="439">
        <v>45567</v>
      </c>
      <c r="O589" s="282" t="str">
        <f>IF(Tableau3384[[#This Row],[Date du paiement]]&gt;0,"",Tableau3384[[#This Row],[Montant
CHF]])</f>
        <v/>
      </c>
      <c r="P589" s="287" t="str">
        <f>IF(Tableau3384[[#This Row],[Date du paiement]]="",$B$4-Tableau3384[[#This Row],[Écheance]],"")</f>
        <v/>
      </c>
      <c r="Q589" s="168" t="str">
        <f>IF(Tableau3384[[#This Row],[Date du paiement]]="",IF(Tableau3384[[#This Row],[jours jusqu''à l''écheance]]&gt;0,Tableau3384[[#This Row],[Montant
CHF]],""),"")</f>
        <v/>
      </c>
      <c r="R589" s="298" t="str">
        <f>IF(Tableau3384[[#This Row],[Date du paiement]]="",IF(Tableau3384[[#This Row],[jours jusqu''à l''écheance]]-($B$4-$B$11-1)&gt;0,Tableau3384[[#This Row],[Montant
CHF]],""),"")</f>
        <v/>
      </c>
      <c r="S589" s="142"/>
      <c r="T589" s="168" t="str">
        <f>IF(Tableau3384[[#This Row],[Paiements prevus]]="oui",Tableau3384[[#This Row],[Montant prevu à payer CH]],"")</f>
        <v/>
      </c>
      <c r="U589" s="177"/>
      <c r="V589" s="192" t="s">
        <v>735</v>
      </c>
      <c r="W589" s="190"/>
      <c r="X589" s="187">
        <v>45567</v>
      </c>
      <c r="Y589" s="181" t="s">
        <v>58</v>
      </c>
      <c r="Z589" s="120" t="str">
        <f>IF(Tableau3384[[#This Row],[Méthode du paiement]]="Mastercard","OUI","")</f>
        <v/>
      </c>
      <c r="AA589" s="180" t="s">
        <v>4</v>
      </c>
      <c r="AB589" s="180" t="s">
        <v>1466</v>
      </c>
    </row>
    <row r="590" spans="1:28" s="184" customFormat="1" hidden="1" x14ac:dyDescent="0.25">
      <c r="A590" s="182" t="s">
        <v>1607</v>
      </c>
      <c r="B590" s="185">
        <v>45573</v>
      </c>
      <c r="C590" s="185">
        <v>45573</v>
      </c>
      <c r="D590" s="186" t="s">
        <v>196</v>
      </c>
      <c r="E590" s="183">
        <v>921.7</v>
      </c>
      <c r="F590" s="195">
        <v>8.1</v>
      </c>
      <c r="G590" s="193"/>
      <c r="H590" s="136">
        <f>Tableau3384[[#This Row],[Montant
CHF]]+Tableau3384[[#This Row],[Abzug/Spesen
CHF]]</f>
        <v>921.7</v>
      </c>
      <c r="I590" s="188"/>
      <c r="J590" s="189"/>
      <c r="K590" s="189"/>
      <c r="L590" s="298"/>
      <c r="M590" s="194"/>
      <c r="N590" s="439">
        <v>45583</v>
      </c>
      <c r="O590" s="282" t="str">
        <f>IF(Tableau3384[[#This Row],[Date du paiement]]&gt;0,"",Tableau3384[[#This Row],[Montant
CHF]])</f>
        <v/>
      </c>
      <c r="P590" s="287" t="str">
        <f>IF(Tableau3384[[#This Row],[Date du paiement]]="",$B$4-Tableau3384[[#This Row],[Écheance]],"")</f>
        <v/>
      </c>
      <c r="Q590" s="168" t="str">
        <f>IF(Tableau3384[[#This Row],[Date du paiement]]="",IF(Tableau3384[[#This Row],[jours jusqu''à l''écheance]]&gt;0,Tableau3384[[#This Row],[Montant
CHF]],""),"")</f>
        <v/>
      </c>
      <c r="R590" s="298" t="str">
        <f>IF(Tableau3384[[#This Row],[Date du paiement]]="",IF(Tableau3384[[#This Row],[jours jusqu''à l''écheance]]-($B$4-$B$11-1)&gt;0,Tableau3384[[#This Row],[Montant
CHF]],""),"")</f>
        <v/>
      </c>
      <c r="S590" s="142"/>
      <c r="T590" s="168" t="str">
        <f>IF(Tableau3384[[#This Row],[Paiements prevus]]="oui",Tableau3384[[#This Row],[Montant prevu à payer CH]],"")</f>
        <v/>
      </c>
      <c r="U590" s="177"/>
      <c r="V590" s="192" t="s">
        <v>735</v>
      </c>
      <c r="W590" s="190"/>
      <c r="X590" s="187">
        <v>45604</v>
      </c>
      <c r="Y590" s="181" t="s">
        <v>58</v>
      </c>
      <c r="Z590" s="500" t="str">
        <f>IF(Tableau3384[[#This Row],[Méthode du paiement]]="Mastercard","OUI","")</f>
        <v/>
      </c>
      <c r="AA590" s="180" t="s">
        <v>4</v>
      </c>
      <c r="AB590" s="180" t="s">
        <v>1609</v>
      </c>
    </row>
    <row r="591" spans="1:28" s="184" customFormat="1" hidden="1" x14ac:dyDescent="0.25">
      <c r="A591" s="182" t="s">
        <v>1435</v>
      </c>
      <c r="B591" s="185">
        <v>45537</v>
      </c>
      <c r="C591" s="185">
        <v>45537</v>
      </c>
      <c r="D591" s="186" t="s">
        <v>216</v>
      </c>
      <c r="E591" s="438">
        <v>9.9499999999999993</v>
      </c>
      <c r="F591" s="195">
        <v>100</v>
      </c>
      <c r="G591" s="193"/>
      <c r="H591" s="136">
        <f>Tableau3384[[#This Row],[Montant
CHF]]+Tableau3384[[#This Row],[Abzug/Spesen
CHF]]</f>
        <v>9.9499999999999993</v>
      </c>
      <c r="I591" s="188"/>
      <c r="J591" s="189"/>
      <c r="K591" s="189"/>
      <c r="L591" s="298"/>
      <c r="M591" s="194"/>
      <c r="N591" s="439">
        <v>45597</v>
      </c>
      <c r="O591" s="282" t="str">
        <f>IF(Tableau3384[[#This Row],[Date du paiement]]&gt;0,"",Tableau3384[[#This Row],[Montant
CHF]])</f>
        <v/>
      </c>
      <c r="P591" s="475" t="str">
        <f>IF(Tableau3384[[#This Row],[Date du paiement]]="",$B$4-Tableau3384[[#This Row],[Écheance]],"")</f>
        <v/>
      </c>
      <c r="Q591" s="168" t="str">
        <f>IF(Tableau3384[[#This Row],[Date du paiement]]="",IF(Tableau3384[[#This Row],[jours jusqu''à l''écheance]]&gt;0,Tableau3384[[#This Row],[Montant
CHF]],""),"")</f>
        <v/>
      </c>
      <c r="R591" s="298" t="str">
        <f>IF(Tableau3384[[#This Row],[Date du paiement]]="",IF(Tableau3384[[#This Row],[jours jusqu''à l''écheance]]-($B$4-$B$11-1)&gt;0,Tableau3384[[#This Row],[Montant
CHF]],""),"")</f>
        <v/>
      </c>
      <c r="S591" s="142"/>
      <c r="T591" s="168" t="str">
        <f>IF(Tableau3384[[#This Row],[Paiements prevus]]="oui",Tableau3384[[#This Row],[Montant prevu à payer CH]],"")</f>
        <v/>
      </c>
      <c r="U591" s="449"/>
      <c r="V591" s="192" t="s">
        <v>736</v>
      </c>
      <c r="W591" s="190"/>
      <c r="X591" s="187">
        <v>45597</v>
      </c>
      <c r="Y591" s="181" t="s">
        <v>58</v>
      </c>
      <c r="Z591" s="120" t="str">
        <f>IF(Tableau3384[[#This Row],[Méthode du paiement]]="Mastercard","OUI","")</f>
        <v/>
      </c>
      <c r="AA591" s="180" t="s">
        <v>604</v>
      </c>
      <c r="AB591" s="180" t="s">
        <v>1415</v>
      </c>
    </row>
    <row r="592" spans="1:28" s="184" customFormat="1" hidden="1" x14ac:dyDescent="0.25">
      <c r="A592" s="182" t="s">
        <v>1462</v>
      </c>
      <c r="B592" s="185">
        <v>45538</v>
      </c>
      <c r="C592" s="185">
        <v>45539</v>
      </c>
      <c r="D592" s="186" t="s">
        <v>48</v>
      </c>
      <c r="E592" s="438">
        <v>44.25</v>
      </c>
      <c r="F592" s="195">
        <v>8.1</v>
      </c>
      <c r="G592" s="193"/>
      <c r="H592" s="136">
        <f>Tableau3384[[#This Row],[Montant
CHF]]+Tableau3384[[#This Row],[Abzug/Spesen
CHF]]</f>
        <v>44.25</v>
      </c>
      <c r="I592" s="188"/>
      <c r="J592" s="189"/>
      <c r="K592" s="189"/>
      <c r="L592" s="298"/>
      <c r="M592" s="194"/>
      <c r="N592" s="439">
        <v>45558</v>
      </c>
      <c r="O592" s="282" t="str">
        <f>IF(Tableau3384[[#This Row],[Date du paiement]]&gt;0,"",Tableau3384[[#This Row],[Montant
CHF]])</f>
        <v/>
      </c>
      <c r="P592" s="475" t="str">
        <f>IF(Tableau3384[[#This Row],[Date du paiement]]="",$B$4-Tableau3384[[#This Row],[Écheance]],"")</f>
        <v/>
      </c>
      <c r="Q592" s="168" t="str">
        <f>IF(Tableau3384[[#This Row],[Date du paiement]]="",IF(Tableau3384[[#This Row],[jours jusqu''à l''écheance]]&gt;0,Tableau3384[[#This Row],[Montant
CHF]],""),"")</f>
        <v/>
      </c>
      <c r="R592" s="298" t="str">
        <f>IF(Tableau3384[[#This Row],[Date du paiement]]="",IF(Tableau3384[[#This Row],[jours jusqu''à l''écheance]]-($B$4-$B$11-1)&gt;0,Tableau3384[[#This Row],[Montant
CHF]],""),"")</f>
        <v/>
      </c>
      <c r="S592" s="142"/>
      <c r="T592" s="168" t="str">
        <f>IF(Tableau3384[[#This Row],[Paiements prevus]]="oui",Tableau3384[[#This Row],[Montant prevu à payer CH]],"")</f>
        <v/>
      </c>
      <c r="U592" s="449"/>
      <c r="V592" s="192" t="s">
        <v>735</v>
      </c>
      <c r="W592" s="444"/>
      <c r="X592" s="187">
        <v>45569</v>
      </c>
      <c r="Y592" s="181" t="s">
        <v>58</v>
      </c>
      <c r="Z592" s="447" t="str">
        <f>IF(Tableau3384[[#This Row],[Méthode du paiement]]="Mastercard","OUI","")</f>
        <v/>
      </c>
      <c r="AA592" s="180" t="s">
        <v>39</v>
      </c>
      <c r="AB592" s="180" t="s">
        <v>710</v>
      </c>
    </row>
    <row r="593" spans="1:28" s="184" customFormat="1" hidden="1" x14ac:dyDescent="0.25">
      <c r="A593" s="182" t="s">
        <v>1471</v>
      </c>
      <c r="B593" s="185">
        <v>45538</v>
      </c>
      <c r="C593" s="185">
        <v>45540</v>
      </c>
      <c r="D593" s="186" t="s">
        <v>117</v>
      </c>
      <c r="E593" s="183">
        <f>Tableau3384[[#This Row],[Montant
EUR]]*Tableau3384[[#This Row],[Taux 
de change]]</f>
        <v>910.44553600000006</v>
      </c>
      <c r="F593" s="195">
        <v>0</v>
      </c>
      <c r="G593" s="193"/>
      <c r="H593" s="136">
        <f>Tableau3384[[#This Row],[Montant
CHF]]+Tableau3384[[#This Row],[Abzug/Spesen
CHF]]</f>
        <v>910.44553600000006</v>
      </c>
      <c r="I593" s="188">
        <v>0.94523000000000001</v>
      </c>
      <c r="J593" s="189">
        <v>963.2</v>
      </c>
      <c r="K593" s="189"/>
      <c r="L593" s="298"/>
      <c r="M593" s="194"/>
      <c r="N593" s="185">
        <v>45567</v>
      </c>
      <c r="O593" s="282" t="str">
        <f>IF(Tableau3384[[#This Row],[Date du paiement]]&gt;0,"",Tableau3384[[#This Row],[Montant
CHF]])</f>
        <v/>
      </c>
      <c r="P593" s="287" t="str">
        <f>IF(Tableau3384[[#This Row],[Date du paiement]]="",$B$4-Tableau3384[[#This Row],[Écheance]],"")</f>
        <v/>
      </c>
      <c r="Q593" s="168" t="str">
        <f>IF(Tableau3384[[#This Row],[Date du paiement]]="",IF(Tableau3384[[#This Row],[jours jusqu''à l''écheance]]&gt;0,Tableau3384[[#This Row],[Montant
CHF]],""),"")</f>
        <v/>
      </c>
      <c r="R593" s="298" t="str">
        <f>IF(Tableau3384[[#This Row],[Date du paiement]]="",IF(Tableau3384[[#This Row],[jours jusqu''à l''écheance]]-($B$4-$B$11-1)&gt;0,Tableau3384[[#This Row],[Montant
CHF]],""),"")</f>
        <v/>
      </c>
      <c r="S593" s="142"/>
      <c r="T593" s="168" t="str">
        <f>IF(Tableau3384[[#This Row],[Paiements prevus]]="oui",Tableau3384[[#This Row],[Montant prevu à payer CH]],"")</f>
        <v/>
      </c>
      <c r="U593" s="177"/>
      <c r="V593" s="192" t="s">
        <v>737</v>
      </c>
      <c r="W593" s="190"/>
      <c r="X593" s="187">
        <v>45572</v>
      </c>
      <c r="Y593" s="181" t="s">
        <v>58</v>
      </c>
      <c r="Z593" s="120" t="str">
        <f>IF(Tableau3384[[#This Row],[Méthode du paiement]]="Mastercard","OUI","")</f>
        <v/>
      </c>
      <c r="AA593" s="180" t="s">
        <v>14</v>
      </c>
      <c r="AB593" s="180" t="s">
        <v>1473</v>
      </c>
    </row>
    <row r="594" spans="1:28" s="184" customFormat="1" hidden="1" x14ac:dyDescent="0.25">
      <c r="A594" s="182" t="s">
        <v>129</v>
      </c>
      <c r="B594" s="185">
        <v>45539</v>
      </c>
      <c r="C594" s="185">
        <v>45538</v>
      </c>
      <c r="D594" s="186" t="s">
        <v>87</v>
      </c>
      <c r="E594" s="183">
        <v>3370.5</v>
      </c>
      <c r="F594" s="195">
        <v>0</v>
      </c>
      <c r="G594" s="193"/>
      <c r="H594" s="136">
        <f>Tableau3384[[#This Row],[Montant
CHF]]+Tableau3384[[#This Row],[Abzug/Spesen
CHF]]</f>
        <v>3370.5</v>
      </c>
      <c r="I594" s="188"/>
      <c r="J594" s="189"/>
      <c r="K594" s="189"/>
      <c r="L594" s="298"/>
      <c r="M594" s="194"/>
      <c r="N594" s="185">
        <v>45568</v>
      </c>
      <c r="O594" s="282" t="str">
        <f>IF(Tableau3384[[#This Row],[Date du paiement]]&gt;0,"",Tableau3384[[#This Row],[Montant
CHF]])</f>
        <v/>
      </c>
      <c r="P594" s="287" t="str">
        <f>IF(Tableau3384[[#This Row],[Date du paiement]]="",$B$4-Tableau3384[[#This Row],[Écheance]],"")</f>
        <v/>
      </c>
      <c r="Q594" s="168" t="str">
        <f>IF(Tableau3384[[#This Row],[Date du paiement]]="",IF(Tableau3384[[#This Row],[jours jusqu''à l''écheance]]&gt;0,Tableau3384[[#This Row],[Montant
CHF]],""),"")</f>
        <v/>
      </c>
      <c r="R594" s="298" t="str">
        <f>IF(Tableau3384[[#This Row],[Date du paiement]]="",IF(Tableau3384[[#This Row],[jours jusqu''à l''écheance]]-($B$4-$B$11-1)&gt;0,Tableau3384[[#This Row],[Montant
CHF]],""),"")</f>
        <v/>
      </c>
      <c r="S594" s="142"/>
      <c r="T594" s="168" t="str">
        <f>IF(Tableau3384[[#This Row],[Paiements prevus]]="oui",Tableau3384[[#This Row],[Montant prevu à payer CH]],"")</f>
        <v/>
      </c>
      <c r="U594" s="177"/>
      <c r="V594" s="192" t="s">
        <v>739</v>
      </c>
      <c r="W594" s="190"/>
      <c r="X594" s="187">
        <v>45569</v>
      </c>
      <c r="Y594" s="181" t="s">
        <v>58</v>
      </c>
      <c r="Z594" s="120" t="str">
        <f>IF(Tableau3384[[#This Row],[Méthode du paiement]]="Mastercard","OUI","")</f>
        <v/>
      </c>
      <c r="AA594" s="180" t="s">
        <v>4</v>
      </c>
      <c r="AB594" s="180" t="s">
        <v>711</v>
      </c>
    </row>
    <row r="595" spans="1:28" s="184" customFormat="1" hidden="1" x14ac:dyDescent="0.25">
      <c r="A595" s="182" t="s">
        <v>1460</v>
      </c>
      <c r="B595" s="185">
        <v>45539</v>
      </c>
      <c r="C595" s="185">
        <v>45539</v>
      </c>
      <c r="D595" s="186" t="s">
        <v>92</v>
      </c>
      <c r="E595" s="183">
        <v>12.85</v>
      </c>
      <c r="F595" s="195">
        <v>8.1</v>
      </c>
      <c r="G595" s="193"/>
      <c r="H595" s="136">
        <f>Tableau3384[[#This Row],[Montant
CHF]]+Tableau3384[[#This Row],[Abzug/Spesen
CHF]]</f>
        <v>12.85</v>
      </c>
      <c r="I595" s="188"/>
      <c r="J595" s="189"/>
      <c r="K595" s="189"/>
      <c r="L595" s="298"/>
      <c r="M595" s="194"/>
      <c r="N595" s="185">
        <v>45549</v>
      </c>
      <c r="O595" s="282" t="str">
        <f>IF(Tableau3384[[#This Row],[Date du paiement]]&gt;0,"",Tableau3384[[#This Row],[Montant
CHF]])</f>
        <v/>
      </c>
      <c r="P595" s="287" t="str">
        <f>IF(Tableau3384[[#This Row],[Date du paiement]]="",$B$4-Tableau3384[[#This Row],[Écheance]],"")</f>
        <v/>
      </c>
      <c r="Q595" s="168" t="str">
        <f>IF(Tableau3384[[#This Row],[Date du paiement]]="",IF(Tableau3384[[#This Row],[jours jusqu''à l''écheance]]&gt;0,Tableau3384[[#This Row],[Montant
CHF]],""),"")</f>
        <v/>
      </c>
      <c r="R595" s="298" t="str">
        <f>IF(Tableau3384[[#This Row],[Date du paiement]]="",IF(Tableau3384[[#This Row],[jours jusqu''à l''écheance]]-($B$4-$B$11-1)&gt;0,Tableau3384[[#This Row],[Montant
CHF]],""),"")</f>
        <v/>
      </c>
      <c r="S595" s="142"/>
      <c r="T595" s="168" t="str">
        <f>IF(Tableau3384[[#This Row],[Paiements prevus]]="oui",Tableau3384[[#This Row],[Montant prevu à payer CH]],"")</f>
        <v/>
      </c>
      <c r="U595" s="177"/>
      <c r="V595" s="192" t="s">
        <v>738</v>
      </c>
      <c r="W595" s="190"/>
      <c r="X595" s="187">
        <v>45569</v>
      </c>
      <c r="Y595" s="181" t="s">
        <v>58</v>
      </c>
      <c r="Z595" s="120" t="str">
        <f>IF(Tableau3384[[#This Row],[Méthode du paiement]]="Mastercard","OUI","")</f>
        <v/>
      </c>
      <c r="AA595" s="180" t="s">
        <v>14</v>
      </c>
      <c r="AB595" s="180" t="s">
        <v>1461</v>
      </c>
    </row>
    <row r="596" spans="1:28" s="184" customFormat="1" hidden="1" x14ac:dyDescent="0.25">
      <c r="A596" s="182" t="s">
        <v>1469</v>
      </c>
      <c r="B596" s="185">
        <v>45540</v>
      </c>
      <c r="C596" s="185">
        <v>45540</v>
      </c>
      <c r="D596" s="186" t="s">
        <v>807</v>
      </c>
      <c r="E596" s="183">
        <v>593.65</v>
      </c>
      <c r="F596" s="195">
        <v>8.1</v>
      </c>
      <c r="G596" s="193"/>
      <c r="H596" s="136">
        <f>Tableau3384[[#This Row],[Montant
CHF]]+Tableau3384[[#This Row],[Abzug/Spesen
CHF]]</f>
        <v>593.65</v>
      </c>
      <c r="I596" s="188"/>
      <c r="J596" s="189"/>
      <c r="K596" s="189"/>
      <c r="L596" s="298"/>
      <c r="M596" s="194"/>
      <c r="N596" s="185">
        <v>45570</v>
      </c>
      <c r="O596" s="282" t="str">
        <f>IF(Tableau3384[[#This Row],[Date du paiement]]&gt;0,"",Tableau3384[[#This Row],[Montant
CHF]])</f>
        <v/>
      </c>
      <c r="P596" s="287" t="str">
        <f>IF(Tableau3384[[#This Row],[Date du paiement]]="",$B$4-Tableau3384[[#This Row],[Écheance]],"")</f>
        <v/>
      </c>
      <c r="Q596" s="168" t="str">
        <f>IF(Tableau3384[[#This Row],[Date du paiement]]="",IF(Tableau3384[[#This Row],[jours jusqu''à l''écheance]]&gt;0,Tableau3384[[#This Row],[Montant
CHF]],""),"")</f>
        <v/>
      </c>
      <c r="R596" s="298" t="str">
        <f>IF(Tableau3384[[#This Row],[Date du paiement]]="",IF(Tableau3384[[#This Row],[jours jusqu''à l''écheance]]-($B$4-$B$11-1)&gt;0,Tableau3384[[#This Row],[Montant
CHF]],""),"")</f>
        <v/>
      </c>
      <c r="S596" s="142"/>
      <c r="T596" s="168" t="str">
        <f>IF(Tableau3384[[#This Row],[Paiements prevus]]="oui",Tableau3384[[#This Row],[Montant prevu à payer CH]],"")</f>
        <v/>
      </c>
      <c r="U596" s="177"/>
      <c r="V596" s="192" t="s">
        <v>738</v>
      </c>
      <c r="W596" s="190"/>
      <c r="X596" s="187">
        <v>45572</v>
      </c>
      <c r="Y596" s="181" t="s">
        <v>58</v>
      </c>
      <c r="Z596" s="120" t="str">
        <f>IF(Tableau3384[[#This Row],[Méthode du paiement]]="Mastercard","OUI","")</f>
        <v/>
      </c>
      <c r="AA596" s="180" t="s">
        <v>14</v>
      </c>
      <c r="AB596" s="180" t="s">
        <v>1470</v>
      </c>
    </row>
    <row r="597" spans="1:28" s="184" customFormat="1" hidden="1" x14ac:dyDescent="0.25">
      <c r="A597" s="182" t="s">
        <v>1472</v>
      </c>
      <c r="B597" s="185">
        <v>45540</v>
      </c>
      <c r="C597" s="185">
        <v>45541</v>
      </c>
      <c r="D597" s="186" t="s">
        <v>117</v>
      </c>
      <c r="E597" s="183">
        <f>Tableau3384[[#This Row],[Montant
EUR]]*Tableau3384[[#This Row],[Taux 
de change]]</f>
        <v>405.49937999999997</v>
      </c>
      <c r="F597" s="195">
        <v>0</v>
      </c>
      <c r="G597" s="193"/>
      <c r="H597" s="136">
        <f>Tableau3384[[#This Row],[Montant
CHF]]+Tableau3384[[#This Row],[Abzug/Spesen
CHF]]</f>
        <v>405.49937999999997</v>
      </c>
      <c r="I597" s="188">
        <v>0.94521999999999995</v>
      </c>
      <c r="J597" s="189">
        <v>429</v>
      </c>
      <c r="K597" s="189"/>
      <c r="L597" s="298"/>
      <c r="M597" s="194"/>
      <c r="N597" s="185">
        <v>45569</v>
      </c>
      <c r="O597" s="282" t="str">
        <f>IF(Tableau3384[[#This Row],[Date du paiement]]&gt;0,"",Tableau3384[[#This Row],[Montant
CHF]])</f>
        <v/>
      </c>
      <c r="P597" s="287" t="str">
        <f>IF(Tableau3384[[#This Row],[Date du paiement]]="",$B$4-Tableau3384[[#This Row],[Écheance]],"")</f>
        <v/>
      </c>
      <c r="Q597" s="168" t="str">
        <f>IF(Tableau3384[[#This Row],[Date du paiement]]="",IF(Tableau3384[[#This Row],[jours jusqu''à l''écheance]]&gt;0,Tableau3384[[#This Row],[Montant
CHF]],""),"")</f>
        <v/>
      </c>
      <c r="R597" s="298" t="str">
        <f>IF(Tableau3384[[#This Row],[Date du paiement]]="",IF(Tableau3384[[#This Row],[jours jusqu''à l''écheance]]-($B$4-$B$11-1)&gt;0,Tableau3384[[#This Row],[Montant
CHF]],""),"")</f>
        <v/>
      </c>
      <c r="S597" s="142"/>
      <c r="T597" s="168" t="str">
        <f>IF(Tableau3384[[#This Row],[Paiements prevus]]="oui",Tableau3384[[#This Row],[Montant prevu à payer CH]],"")</f>
        <v/>
      </c>
      <c r="U597" s="177"/>
      <c r="V597" s="192" t="s">
        <v>737</v>
      </c>
      <c r="W597" s="190"/>
      <c r="X597" s="187">
        <v>45572</v>
      </c>
      <c r="Y597" s="181" t="s">
        <v>58</v>
      </c>
      <c r="Z597" s="120" t="str">
        <f>IF(Tableau3384[[#This Row],[Méthode du paiement]]="Mastercard","OUI","")</f>
        <v/>
      </c>
      <c r="AA597" s="180" t="s">
        <v>11</v>
      </c>
      <c r="AB597" s="180" t="s">
        <v>1473</v>
      </c>
    </row>
    <row r="598" spans="1:28" s="184" customFormat="1" hidden="1" x14ac:dyDescent="0.25">
      <c r="A598" s="182" t="s">
        <v>1518</v>
      </c>
      <c r="B598" s="185">
        <v>45540</v>
      </c>
      <c r="C598" s="185">
        <v>45558</v>
      </c>
      <c r="D598" s="186" t="s">
        <v>38</v>
      </c>
      <c r="E598" s="183">
        <v>89.8</v>
      </c>
      <c r="F598" s="195">
        <v>8.1</v>
      </c>
      <c r="G598" s="193"/>
      <c r="H598" s="136">
        <f>Tableau3384[[#This Row],[Montant
CHF]]+Tableau3384[[#This Row],[Abzug/Spesen
CHF]]</f>
        <v>89.8</v>
      </c>
      <c r="I598" s="188"/>
      <c r="J598" s="189"/>
      <c r="K598" s="189"/>
      <c r="L598" s="298"/>
      <c r="M598" s="194"/>
      <c r="N598" s="185">
        <v>45563</v>
      </c>
      <c r="O598" s="282" t="str">
        <f>IF(Tableau3384[[#This Row],[Date du paiement]]&gt;0,"",Tableau3384[[#This Row],[Montant
CHF]])</f>
        <v/>
      </c>
      <c r="P598" s="287" t="str">
        <f>IF(Tableau3384[[#This Row],[Date du paiement]]="",$B$4-Tableau3384[[#This Row],[Écheance]],"")</f>
        <v/>
      </c>
      <c r="Q598" s="168" t="str">
        <f>IF(Tableau3384[[#This Row],[Date du paiement]]="",IF(Tableau3384[[#This Row],[jours jusqu''à l''écheance]]&gt;0,Tableau3384[[#This Row],[Montant
CHF]],""),"")</f>
        <v/>
      </c>
      <c r="R598" s="298" t="str">
        <f>IF(Tableau3384[[#This Row],[Date du paiement]]="",IF(Tableau3384[[#This Row],[jours jusqu''à l''écheance]]-($B$4-$B$11-1)&gt;0,Tableau3384[[#This Row],[Montant
CHF]],""),"")</f>
        <v/>
      </c>
      <c r="S598" s="142"/>
      <c r="T598" s="168" t="str">
        <f>IF(Tableau3384[[#This Row],[Paiements prevus]]="oui",Tableau3384[[#This Row],[Montant prevu à payer CH]],"")</f>
        <v/>
      </c>
      <c r="U598" s="177"/>
      <c r="V598" s="192" t="s">
        <v>735</v>
      </c>
      <c r="W598" s="190"/>
      <c r="X598" s="187">
        <v>45565</v>
      </c>
      <c r="Y598" s="181" t="s">
        <v>58</v>
      </c>
      <c r="Z598" s="500" t="str">
        <f>IF(Tableau3384[[#This Row],[Méthode du paiement]]="Mastercard","OUI","")</f>
        <v/>
      </c>
      <c r="AA598" s="180" t="s">
        <v>39</v>
      </c>
      <c r="AB598" s="180" t="s">
        <v>711</v>
      </c>
    </row>
    <row r="599" spans="1:28" s="184" customFormat="1" hidden="1" x14ac:dyDescent="0.25">
      <c r="A599" s="182" t="s">
        <v>1478</v>
      </c>
      <c r="B599" s="185">
        <v>45540</v>
      </c>
      <c r="C599" s="185">
        <v>45540</v>
      </c>
      <c r="D599" s="186" t="s">
        <v>209</v>
      </c>
      <c r="E599" s="183">
        <v>15.9</v>
      </c>
      <c r="F599" s="195">
        <v>8.1</v>
      </c>
      <c r="G599" s="193"/>
      <c r="H599" s="136">
        <f>Tableau3384[[#This Row],[Montant
CHF]]+Tableau3384[[#This Row],[Abzug/Spesen
CHF]]</f>
        <v>15.9</v>
      </c>
      <c r="I599" s="188"/>
      <c r="J599" s="189"/>
      <c r="K599" s="189"/>
      <c r="L599" s="298"/>
      <c r="M599" s="194"/>
      <c r="N599" s="185"/>
      <c r="O599" s="282" t="str">
        <f>IF(Tableau3384[[#This Row],[Date du paiement]]&gt;0,"",Tableau3384[[#This Row],[Montant
CHF]])</f>
        <v/>
      </c>
      <c r="P599" s="287" t="str">
        <f>IF(Tableau3384[[#This Row],[Date du paiement]]="",$B$4-Tableau3384[[#This Row],[Écheance]],"")</f>
        <v/>
      </c>
      <c r="Q599" s="168" t="str">
        <f>IF(Tableau3384[[#This Row],[Date du paiement]]="",IF(Tableau3384[[#This Row],[jours jusqu''à l''écheance]]&gt;0,Tableau3384[[#This Row],[Montant
CHF]],""),"")</f>
        <v/>
      </c>
      <c r="R599" s="298" t="str">
        <f>IF(Tableau3384[[#This Row],[Date du paiement]]="",IF(Tableau3384[[#This Row],[jours jusqu''à l''écheance]]&gt;0,Tableau3384[[#This Row],[Montant
CHF]],""),"")</f>
        <v/>
      </c>
      <c r="S599" s="142"/>
      <c r="T599" s="168" t="str">
        <f>IF(Tableau3384[[#This Row],[Paiements prevus]]="oui",Tableau3384[[#This Row],[Montant prevu à payer CH]],"")</f>
        <v/>
      </c>
      <c r="U599" s="177"/>
      <c r="V599" s="192"/>
      <c r="W599" s="190"/>
      <c r="X599" s="187">
        <v>45540</v>
      </c>
      <c r="Y599" s="181" t="s">
        <v>345</v>
      </c>
      <c r="Z599" s="120" t="str">
        <f>IF(Tableau3384[[#This Row],[Méthode du paiement]]="Mastercard","OUI","")</f>
        <v/>
      </c>
      <c r="AA599" s="180" t="s">
        <v>43</v>
      </c>
      <c r="AB599" s="180" t="s">
        <v>1479</v>
      </c>
    </row>
    <row r="600" spans="1:28" s="184" customFormat="1" hidden="1" x14ac:dyDescent="0.25">
      <c r="A600" s="182" t="s">
        <v>1496</v>
      </c>
      <c r="B600" s="185">
        <v>45541</v>
      </c>
      <c r="C600" s="185">
        <v>45541</v>
      </c>
      <c r="D600" s="186" t="s">
        <v>196</v>
      </c>
      <c r="E600" s="163">
        <v>1378</v>
      </c>
      <c r="F600" s="195">
        <v>8.1</v>
      </c>
      <c r="G600" s="193"/>
      <c r="H600" s="136">
        <f>Tableau3384[[#This Row],[Montant
CHF]]+Tableau3384[[#This Row],[Abzug/Spesen
CHF]]</f>
        <v>1378</v>
      </c>
      <c r="I600" s="188"/>
      <c r="J600" s="189"/>
      <c r="K600" s="189"/>
      <c r="L600" s="298"/>
      <c r="M600" s="194" t="s">
        <v>1495</v>
      </c>
      <c r="N600" s="185">
        <v>45556</v>
      </c>
      <c r="O600" s="282" t="str">
        <f>IF(Tableau3384[[#This Row],[Date du paiement]]&gt;0,"",Tableau3384[[#This Row],[Montant
CHF]])</f>
        <v/>
      </c>
      <c r="P600" s="287" t="str">
        <f>IF(Tableau3384[[#This Row],[Date du paiement]]="",$B$4-Tableau3384[[#This Row],[Écheance]],"")</f>
        <v/>
      </c>
      <c r="Q600" s="168" t="str">
        <f>IF(Tableau3384[[#This Row],[Date du paiement]]="",IF(Tableau3384[[#This Row],[jours jusqu''à l''écheance]]&gt;0,Tableau3384[[#This Row],[Montant
CHF]],""),"")</f>
        <v/>
      </c>
      <c r="R600" s="298" t="str">
        <f>IF(Tableau3384[[#This Row],[Date du paiement]]="",IF(Tableau3384[[#This Row],[jours jusqu''à l''écheance]]-($B$4-$B$11-1)&gt;0,Tableau3384[[#This Row],[Montant
CHF]],""),"")</f>
        <v/>
      </c>
      <c r="S600" s="142"/>
      <c r="T600" s="168" t="str">
        <f>IF(Tableau3384[[#This Row],[Paiements prevus]]="oui",Tableau3384[[#This Row],[Montant prevu à payer CH]],"")</f>
        <v/>
      </c>
      <c r="U600" s="177"/>
      <c r="V600" s="192" t="s">
        <v>735</v>
      </c>
      <c r="W600" s="190"/>
      <c r="X600" s="187">
        <v>45576</v>
      </c>
      <c r="Y600" s="181" t="s">
        <v>58</v>
      </c>
      <c r="Z600" s="447" t="str">
        <f>IF(Tableau3384[[#This Row],[Méthode du paiement]]="Mastercard","OUI","")</f>
        <v/>
      </c>
      <c r="AA600" s="180" t="s">
        <v>4</v>
      </c>
      <c r="AB600" s="180" t="s">
        <v>1480</v>
      </c>
    </row>
    <row r="601" spans="1:28" s="184" customFormat="1" hidden="1" x14ac:dyDescent="0.25">
      <c r="A601" s="182" t="s">
        <v>1494</v>
      </c>
      <c r="B601" s="185">
        <v>45544</v>
      </c>
      <c r="C601" s="185">
        <v>45544</v>
      </c>
      <c r="D601" s="186" t="s">
        <v>216</v>
      </c>
      <c r="E601" s="183">
        <v>2296.85</v>
      </c>
      <c r="F601" s="195">
        <v>100</v>
      </c>
      <c r="G601" s="193"/>
      <c r="H601" s="136">
        <f>Tableau3384[[#This Row],[Montant
CHF]]+Tableau3384[[#This Row],[Abzug/Spesen
CHF]]</f>
        <v>2296.85</v>
      </c>
      <c r="I601" s="188"/>
      <c r="J601" s="189"/>
      <c r="K601" s="189"/>
      <c r="L601" s="298"/>
      <c r="M601" s="194"/>
      <c r="N601" s="185">
        <v>45604</v>
      </c>
      <c r="O601" s="282" t="str">
        <f>IF(Tableau3384[[#This Row],[Date du paiement]]&gt;0,"",Tableau3384[[#This Row],[Montant
CHF]])</f>
        <v/>
      </c>
      <c r="P601" s="287" t="str">
        <f>IF(Tableau3384[[#This Row],[Date du paiement]]="",$B$4-Tableau3384[[#This Row],[Écheance]],"")</f>
        <v/>
      </c>
      <c r="Q601" s="168" t="str">
        <f>IF(Tableau3384[[#This Row],[Date du paiement]]="",IF(Tableau3384[[#This Row],[jours jusqu''à l''écheance]]&gt;0,Tableau3384[[#This Row],[Montant
CHF]],""),"")</f>
        <v/>
      </c>
      <c r="R601" s="298" t="str">
        <f>IF(Tableau3384[[#This Row],[Date du paiement]]="",IF(Tableau3384[[#This Row],[jours jusqu''à l''écheance]]-($B$4-$B$11-1)&gt;0,Tableau3384[[#This Row],[Montant
CHF]],""),"")</f>
        <v/>
      </c>
      <c r="S601" s="142"/>
      <c r="T601" s="168" t="str">
        <f>IF(Tableau3384[[#This Row],[Paiements prevus]]="oui",Tableau3384[[#This Row],[Montant prevu à payer CH]],"")</f>
        <v/>
      </c>
      <c r="U601" s="177"/>
      <c r="V601" s="192" t="s">
        <v>736</v>
      </c>
      <c r="W601" s="480"/>
      <c r="X601" s="187">
        <v>45604</v>
      </c>
      <c r="Y601" s="181" t="s">
        <v>58</v>
      </c>
      <c r="Z601" s="500" t="str">
        <f>IF(Tableau3384[[#This Row],[Méthode du paiement]]="Mastercard","OUI","")</f>
        <v/>
      </c>
      <c r="AA601" s="180" t="s">
        <v>604</v>
      </c>
      <c r="AB601" s="180" t="s">
        <v>1437</v>
      </c>
    </row>
    <row r="602" spans="1:28" s="184" customFormat="1" hidden="1" x14ac:dyDescent="0.25">
      <c r="A602" s="182" t="s">
        <v>1651</v>
      </c>
      <c r="B602" s="185">
        <v>45576</v>
      </c>
      <c r="C602" s="185">
        <v>45579</v>
      </c>
      <c r="D602" s="186" t="s">
        <v>35</v>
      </c>
      <c r="E602" s="438">
        <v>4858.8</v>
      </c>
      <c r="F602" s="195">
        <v>0</v>
      </c>
      <c r="G602" s="193"/>
      <c r="H602" s="136">
        <f>Tableau3384[[#This Row],[Montant
CHF]]+Tableau3384[[#This Row],[Abzug/Spesen
CHF]]</f>
        <v>4858.8</v>
      </c>
      <c r="I602" s="188"/>
      <c r="J602" s="189"/>
      <c r="K602" s="189"/>
      <c r="L602" s="298"/>
      <c r="M602" s="194" t="s">
        <v>1529</v>
      </c>
      <c r="N602" s="185">
        <v>45607</v>
      </c>
      <c r="O602" s="282" t="str">
        <f>IF(Tableau3384[[#This Row],[Date du paiement]]&gt;0,"",Tableau3384[[#This Row],[Montant
CHF]])</f>
        <v/>
      </c>
      <c r="P602" s="287" t="str">
        <f>IF(Tableau3384[[#This Row],[Date du paiement]]="",$B$4-Tableau3384[[#This Row],[Écheance]],"")</f>
        <v/>
      </c>
      <c r="Q602" s="168" t="str">
        <f>IF(Tableau3384[[#This Row],[Date du paiement]]="",IF(Tableau3384[[#This Row],[jours jusqu''à l''écheance]]&gt;0,Tableau3384[[#This Row],[Montant
CHF]],""),"")</f>
        <v/>
      </c>
      <c r="R602" s="298" t="str">
        <f>IF(Tableau3384[[#This Row],[Date du paiement]]="",IF(Tableau3384[[#This Row],[jours jusqu''à l''écheance]]-($B$4-$B$11-1)&gt;0,Tableau3384[[#This Row],[Montant
CHF]],""),"")</f>
        <v/>
      </c>
      <c r="S602" s="142"/>
      <c r="T602" s="168" t="str">
        <f>IF(Tableau3384[[#This Row],[Paiements prevus]]="oui",Tableau3384[[#This Row],[Montant prevu à payer CH]],"")</f>
        <v/>
      </c>
      <c r="U602" s="177"/>
      <c r="V602" s="192" t="s">
        <v>789</v>
      </c>
      <c r="W602" s="444"/>
      <c r="X602" s="187">
        <v>45607</v>
      </c>
      <c r="Y602" s="181" t="s">
        <v>58</v>
      </c>
      <c r="Z602" s="500" t="str">
        <f>IF(Tableau3384[[#This Row],[Méthode du paiement]]="Mastercard","OUI","")</f>
        <v/>
      </c>
      <c r="AA602" s="180" t="s">
        <v>4</v>
      </c>
      <c r="AB602" s="180" t="s">
        <v>712</v>
      </c>
    </row>
    <row r="603" spans="1:28" s="184" customFormat="1" hidden="1" x14ac:dyDescent="0.25">
      <c r="A603" s="159" t="s">
        <v>1489</v>
      </c>
      <c r="B603" s="185">
        <v>45546</v>
      </c>
      <c r="C603" s="185">
        <v>45547</v>
      </c>
      <c r="D603" s="186" t="s">
        <v>253</v>
      </c>
      <c r="E603" s="183">
        <f>Tableau3384[[#This Row],[Montant
EUR]]*Tableau3384[[#This Row],[Taux 
de change]]</f>
        <v>2909.04</v>
      </c>
      <c r="F603" s="195">
        <v>0</v>
      </c>
      <c r="G603" s="193">
        <f>-Tableau3384[[#This Row],[Montant
CHF]]*0.01</f>
        <v>-29.090399999999999</v>
      </c>
      <c r="H603" s="136">
        <f>Tableau3384[[#This Row],[Montant
CHF]]+Tableau3384[[#This Row],[Abzug/Spesen
CHF]]</f>
        <v>2879.9495999999999</v>
      </c>
      <c r="I603" s="188">
        <v>1.02</v>
      </c>
      <c r="J603" s="189">
        <v>2852</v>
      </c>
      <c r="K603" s="189"/>
      <c r="L603" s="298"/>
      <c r="M603" s="194" t="s">
        <v>1455</v>
      </c>
      <c r="N603" s="439">
        <v>45537</v>
      </c>
      <c r="O603" s="282" t="str">
        <f>IF(Tableau3384[[#This Row],[Date du paiement]]&gt;0,"",Tableau3384[[#This Row],[Montant
CHF]])</f>
        <v/>
      </c>
      <c r="P603" s="475" t="str">
        <f>IF(Tableau3384[[#This Row],[Date du paiement]]="",$B$4-Tableau3384[[#This Row],[Écheance]],"")</f>
        <v/>
      </c>
      <c r="Q603" s="168" t="str">
        <f>IF(Tableau3384[[#This Row],[Date du paiement]]="",IF(Tableau3384[[#This Row],[jours jusqu''à l''écheance]]&gt;0,Tableau3384[[#This Row],[Montant
CHF]],""),"")</f>
        <v/>
      </c>
      <c r="R603" s="298" t="str">
        <f>IF(Tableau3384[[#This Row],[Date du paiement]]="",IF(Tableau3384[[#This Row],[jours jusqu''à l''écheance]]&gt;0,Tableau3384[[#This Row],[Montant
CHF]],""),"")</f>
        <v/>
      </c>
      <c r="S603" s="142"/>
      <c r="T603" s="168" t="str">
        <f>IF(Tableau3384[[#This Row],[Paiements prevus]]="oui",Tableau3384[[#This Row],[Montant prevu à payer CH]],"")</f>
        <v/>
      </c>
      <c r="U603" s="449"/>
      <c r="V603" s="192" t="s">
        <v>791</v>
      </c>
      <c r="W603" s="444"/>
      <c r="X603" s="187">
        <v>45539</v>
      </c>
      <c r="Y603" s="181" t="s">
        <v>58</v>
      </c>
      <c r="Z603" s="447" t="str">
        <f>IF(Tableau3384[[#This Row],[Méthode du paiement]]="Mastercard","OUI","")</f>
        <v/>
      </c>
      <c r="AA603" s="180" t="s">
        <v>14</v>
      </c>
      <c r="AB603" s="180" t="s">
        <v>1454</v>
      </c>
    </row>
    <row r="604" spans="1:28" s="184" customFormat="1" hidden="1" x14ac:dyDescent="0.25">
      <c r="A604" s="182" t="s">
        <v>1493</v>
      </c>
      <c r="B604" s="185">
        <v>45546</v>
      </c>
      <c r="C604" s="185">
        <v>45546</v>
      </c>
      <c r="D604" s="186" t="s">
        <v>25</v>
      </c>
      <c r="E604" s="183">
        <v>40</v>
      </c>
      <c r="F604" s="195">
        <v>0</v>
      </c>
      <c r="G604" s="193"/>
      <c r="H604" s="136">
        <f>Tableau3384[[#This Row],[Montant
CHF]]+Tableau3384[[#This Row],[Abzug/Spesen
CHF]]</f>
        <v>40</v>
      </c>
      <c r="I604" s="188"/>
      <c r="J604" s="189"/>
      <c r="K604" s="189"/>
      <c r="L604" s="298"/>
      <c r="M604" s="194"/>
      <c r="N604" s="185">
        <v>45566</v>
      </c>
      <c r="O604" s="282" t="str">
        <f>IF(Tableau3384[[#This Row],[Date du paiement]]&gt;0,"",Tableau3384[[#This Row],[Montant
CHF]])</f>
        <v/>
      </c>
      <c r="P604" s="475" t="str">
        <f>IF(Tableau3384[[#This Row],[Date du paiement]]="",$B$4-Tableau3384[[#This Row],[Écheance]],"")</f>
        <v/>
      </c>
      <c r="Q604" s="168" t="str">
        <f>IF(Tableau3384[[#This Row],[Date du paiement]]="",IF(Tableau3384[[#This Row],[jours jusqu''à l''écheance]]&gt;0,Tableau3384[[#This Row],[Montant
CHF]],""),"")</f>
        <v/>
      </c>
      <c r="R604" s="298" t="str">
        <f>IF(Tableau3384[[#This Row],[Date du paiement]]="",IF(Tableau3384[[#This Row],[jours jusqu''à l''écheance]]-($B$4-$B$11-1)&gt;0,Tableau3384[[#This Row],[Montant
CHF]],""),"")</f>
        <v/>
      </c>
      <c r="S604" s="142"/>
      <c r="T604" s="168" t="str">
        <f>IF(Tableau3384[[#This Row],[Paiements prevus]]="oui",Tableau3384[[#This Row],[Montant prevu à payer CH]],"")</f>
        <v/>
      </c>
      <c r="U604" s="177"/>
      <c r="V604" s="192" t="s">
        <v>738</v>
      </c>
      <c r="W604" s="444"/>
      <c r="X604" s="187">
        <v>45576</v>
      </c>
      <c r="Y604" s="181" t="s">
        <v>58</v>
      </c>
      <c r="Z604" s="500" t="str">
        <f>IF(Tableau3384[[#This Row],[Méthode du paiement]]="Mastercard","OUI","")</f>
        <v/>
      </c>
      <c r="AA604" s="180" t="s">
        <v>26</v>
      </c>
      <c r="AB604" s="180" t="s">
        <v>1565</v>
      </c>
    </row>
    <row r="605" spans="1:28" s="184" customFormat="1" hidden="1" x14ac:dyDescent="0.25">
      <c r="A605" s="437" t="s">
        <v>1497</v>
      </c>
      <c r="B605" s="185">
        <v>45546</v>
      </c>
      <c r="C605" s="185">
        <v>45547</v>
      </c>
      <c r="D605" s="186" t="s">
        <v>299</v>
      </c>
      <c r="E605" s="183">
        <v>349</v>
      </c>
      <c r="F605" s="195">
        <v>8.1</v>
      </c>
      <c r="G605" s="193"/>
      <c r="H605" s="136">
        <f>Tableau3384[[#This Row],[Montant
CHF]]+Tableau3384[[#This Row],[Abzug/Spesen
CHF]]</f>
        <v>349</v>
      </c>
      <c r="I605" s="188"/>
      <c r="J605" s="189"/>
      <c r="K605" s="189"/>
      <c r="L605" s="298"/>
      <c r="M605" s="194"/>
      <c r="N605" s="185">
        <v>45576</v>
      </c>
      <c r="O605" s="282" t="str">
        <f>IF(Tableau3384[[#This Row],[Date du paiement]]&gt;0,"",Tableau3384[[#This Row],[Montant
CHF]])</f>
        <v/>
      </c>
      <c r="P605" s="287" t="str">
        <f>IF(Tableau3384[[#This Row],[Date du paiement]]="",$B$4-Tableau3384[[#This Row],[Écheance]],"")</f>
        <v/>
      </c>
      <c r="Q605" s="168" t="str">
        <f>IF(Tableau3384[[#This Row],[Date du paiement]]="",IF(Tableau3384[[#This Row],[jours jusqu''à l''écheance]]&gt;0,Tableau3384[[#This Row],[Montant
CHF]],""),"")</f>
        <v/>
      </c>
      <c r="R605" s="298" t="str">
        <f>IF(Tableau3384[[#This Row],[Date du paiement]]="",IF(Tableau3384[[#This Row],[jours jusqu''à l''écheance]]-($B$4-$B$11-1)&gt;0,Tableau3384[[#This Row],[Montant
CHF]],""),"")</f>
        <v/>
      </c>
      <c r="S605" s="142"/>
      <c r="T605" s="168" t="str">
        <f>IF(Tableau3384[[#This Row],[Paiements prevus]]="oui",Tableau3384[[#This Row],[Montant prevu à payer CH]],"")</f>
        <v/>
      </c>
      <c r="U605" s="177"/>
      <c r="V605" s="192" t="s">
        <v>735</v>
      </c>
      <c r="W605" s="190"/>
      <c r="X605" s="187">
        <v>45576</v>
      </c>
      <c r="Y605" s="181" t="s">
        <v>58</v>
      </c>
      <c r="Z605" s="500" t="str">
        <f>IF(Tableau3384[[#This Row],[Méthode du paiement]]="Mastercard","OUI","")</f>
        <v/>
      </c>
      <c r="AA605" s="180" t="s">
        <v>43</v>
      </c>
      <c r="AB605" s="180" t="s">
        <v>1499</v>
      </c>
    </row>
    <row r="606" spans="1:28" s="184" customFormat="1" hidden="1" x14ac:dyDescent="0.25">
      <c r="A606" s="182" t="s">
        <v>1498</v>
      </c>
      <c r="B606" s="185">
        <v>45546</v>
      </c>
      <c r="C606" s="185">
        <v>45547</v>
      </c>
      <c r="D606" s="186" t="s">
        <v>299</v>
      </c>
      <c r="E606" s="183">
        <v>103</v>
      </c>
      <c r="F606" s="195">
        <v>8.1</v>
      </c>
      <c r="G606" s="193"/>
      <c r="H606" s="136">
        <f>Tableau3384[[#This Row],[Montant
CHF]]+Tableau3384[[#This Row],[Abzug/Spesen
CHF]]</f>
        <v>103</v>
      </c>
      <c r="I606" s="188"/>
      <c r="J606" s="189"/>
      <c r="K606" s="189"/>
      <c r="L606" s="298"/>
      <c r="M606" s="194"/>
      <c r="N606" s="185">
        <v>45576</v>
      </c>
      <c r="O606" s="282" t="str">
        <f>IF(Tableau3384[[#This Row],[Date du paiement]]&gt;0,"",Tableau3384[[#This Row],[Montant
CHF]])</f>
        <v/>
      </c>
      <c r="P606" s="287" t="str">
        <f>IF(Tableau3384[[#This Row],[Date du paiement]]="",$B$4-Tableau3384[[#This Row],[Écheance]],"")</f>
        <v/>
      </c>
      <c r="Q606" s="168" t="str">
        <f>IF(Tableau3384[[#This Row],[Date du paiement]]="",IF(Tableau3384[[#This Row],[jours jusqu''à l''écheance]]&gt;0,Tableau3384[[#This Row],[Montant
CHF]],""),"")</f>
        <v/>
      </c>
      <c r="R606" s="298" t="str">
        <f>IF(Tableau3384[[#This Row],[Date du paiement]]="",IF(Tableau3384[[#This Row],[jours jusqu''à l''écheance]]-($B$4-$B$11-1)&gt;0,Tableau3384[[#This Row],[Montant
CHF]],""),"")</f>
        <v/>
      </c>
      <c r="S606" s="142"/>
      <c r="T606" s="168" t="str">
        <f>IF(Tableau3384[[#This Row],[Paiements prevus]]="oui",Tableau3384[[#This Row],[Montant prevu à payer CH]],"")</f>
        <v/>
      </c>
      <c r="U606" s="177"/>
      <c r="V606" s="192" t="s">
        <v>735</v>
      </c>
      <c r="W606" s="190"/>
      <c r="X606" s="187">
        <v>45576</v>
      </c>
      <c r="Y606" s="181" t="s">
        <v>58</v>
      </c>
      <c r="Z606" s="379" t="str">
        <f>IF(Tableau3384[[#This Row],[Méthode du paiement]]="Mastercard","OUI","")</f>
        <v/>
      </c>
      <c r="AA606" s="180" t="s">
        <v>1431</v>
      </c>
      <c r="AB606" s="180" t="s">
        <v>1500</v>
      </c>
    </row>
    <row r="607" spans="1:28" s="184" customFormat="1" hidden="1" x14ac:dyDescent="0.25">
      <c r="A607" s="182" t="s">
        <v>1491</v>
      </c>
      <c r="B607" s="185">
        <v>45547</v>
      </c>
      <c r="C607" s="185">
        <v>45547</v>
      </c>
      <c r="D607" s="186" t="s">
        <v>1490</v>
      </c>
      <c r="E607" s="183">
        <v>381.84</v>
      </c>
      <c r="F607" s="195">
        <v>8.1</v>
      </c>
      <c r="G607" s="193"/>
      <c r="H607" s="136">
        <f>Tableau3384[[#This Row],[Montant
CHF]]+Tableau3384[[#This Row],[Abzug/Spesen
CHF]]</f>
        <v>381.84</v>
      </c>
      <c r="I607" s="188"/>
      <c r="J607" s="189"/>
      <c r="K607" s="189"/>
      <c r="L607" s="298"/>
      <c r="M607" s="194"/>
      <c r="N607" s="185">
        <v>45547</v>
      </c>
      <c r="O607" s="282" t="str">
        <f>IF(Tableau3384[[#This Row],[Date du paiement]]&gt;0,"",Tableau3384[[#This Row],[Montant
CHF]])</f>
        <v/>
      </c>
      <c r="P607" s="287" t="str">
        <f>IF(Tableau3384[[#This Row],[Date du paiement]]="",$B$4-Tableau3384[[#This Row],[Écheance]],"")</f>
        <v/>
      </c>
      <c r="Q607" s="168" t="str">
        <f>IF(Tableau3384[[#This Row],[Date du paiement]]="",IF(Tableau3384[[#This Row],[jours jusqu''à l''écheance]]&gt;0,Tableau3384[[#This Row],[Montant
CHF]],""),"")</f>
        <v/>
      </c>
      <c r="R607" s="298" t="str">
        <f>IF(Tableau3384[[#This Row],[Date du paiement]]="",IF(Tableau3384[[#This Row],[jours jusqu''à l''écheance]]-($B$4-$B$11-1)&gt;0,Tableau3384[[#This Row],[Montant
CHF]],""),"")</f>
        <v/>
      </c>
      <c r="S607" s="142"/>
      <c r="T607" s="168" t="str">
        <f>IF(Tableau3384[[#This Row],[Paiements prevus]]="oui",Tableau3384[[#This Row],[Montant prevu à payer CH]],"")</f>
        <v/>
      </c>
      <c r="U607" s="177"/>
      <c r="V607" s="192"/>
      <c r="W607" s="190"/>
      <c r="X607" s="187">
        <v>45547</v>
      </c>
      <c r="Y607" s="181" t="s">
        <v>105</v>
      </c>
      <c r="Z607" s="379" t="str">
        <f>IF(Tableau3384[[#This Row],[Méthode du paiement]]="Mastercard","OUI","")</f>
        <v>OUI</v>
      </c>
      <c r="AA607" s="180" t="s">
        <v>1431</v>
      </c>
      <c r="AB607" s="180" t="s">
        <v>1492</v>
      </c>
    </row>
    <row r="608" spans="1:28" s="184" customFormat="1" hidden="1" x14ac:dyDescent="0.25">
      <c r="A608" s="182" t="s">
        <v>56</v>
      </c>
      <c r="B608" s="185">
        <v>45547</v>
      </c>
      <c r="C608" s="185">
        <v>45558</v>
      </c>
      <c r="D608" s="186" t="s">
        <v>57</v>
      </c>
      <c r="E608" s="183">
        <v>1747.7</v>
      </c>
      <c r="F608" s="195" t="s">
        <v>0</v>
      </c>
      <c r="G608" s="193"/>
      <c r="H608" s="136">
        <f>Tableau3384[[#This Row],[Montant
CHF]]+Tableau3384[[#This Row],[Abzug/Spesen
CHF]]</f>
        <v>1747.7</v>
      </c>
      <c r="I608" s="188"/>
      <c r="J608" s="189"/>
      <c r="K608" s="189"/>
      <c r="L608" s="298"/>
      <c r="M608" s="194"/>
      <c r="N608" s="185">
        <v>45567</v>
      </c>
      <c r="O608" s="282" t="str">
        <f>IF(Tableau3384[[#This Row],[Date du paiement]]&gt;0,"",Tableau3384[[#This Row],[Montant
CHF]])</f>
        <v/>
      </c>
      <c r="P608" s="287" t="str">
        <f>IF(Tableau3384[[#This Row],[Date du paiement]]="",$B$4-Tableau3384[[#This Row],[Écheance]],"")</f>
        <v/>
      </c>
      <c r="Q608" s="168" t="str">
        <f>IF(Tableau3384[[#This Row],[Date du paiement]]="",IF(Tableau3384[[#This Row],[jours jusqu''à l''écheance]]&gt;0,Tableau3384[[#This Row],[Montant
CHF]],""),"")</f>
        <v/>
      </c>
      <c r="R608" s="298" t="str">
        <f>IF(Tableau3384[[#This Row],[Date du paiement]]="",IF(Tableau3384[[#This Row],[jours jusqu''à l''écheance]]-($B$4-$B$11-1)&gt;0,Tableau3384[[#This Row],[Montant
CHF]],""),"")</f>
        <v/>
      </c>
      <c r="S608" s="142"/>
      <c r="T608" s="168" t="str">
        <f>IF(Tableau3384[[#This Row],[Paiements prevus]]="oui",Tableau3384[[#This Row],[Montant prevu à payer CH]],"")</f>
        <v/>
      </c>
      <c r="U608" s="177"/>
      <c r="V608" s="192" t="s">
        <v>799</v>
      </c>
      <c r="W608" s="190"/>
      <c r="X608" s="187">
        <v>45567</v>
      </c>
      <c r="Y608" s="181" t="s">
        <v>58</v>
      </c>
      <c r="Z608" s="379" t="str">
        <f>IF(Tableau3384[[#This Row],[Méthode du paiement]]="Mastercard","OUI","")</f>
        <v/>
      </c>
      <c r="AA608" s="180" t="s">
        <v>43</v>
      </c>
      <c r="AB608" s="180" t="s">
        <v>710</v>
      </c>
    </row>
    <row r="609" spans="1:28" s="184" customFormat="1" hidden="1" x14ac:dyDescent="0.25">
      <c r="A609" s="182" t="s">
        <v>1509</v>
      </c>
      <c r="B609" s="185">
        <v>45548</v>
      </c>
      <c r="C609" s="185">
        <v>45548</v>
      </c>
      <c r="D609" s="186" t="s">
        <v>22</v>
      </c>
      <c r="E609" s="183">
        <v>1504.75</v>
      </c>
      <c r="F609" s="195">
        <v>8.1</v>
      </c>
      <c r="G609" s="193">
        <v>-30.09</v>
      </c>
      <c r="H609" s="136">
        <f>Tableau3384[[#This Row],[Montant
CHF]]+Tableau3384[[#This Row],[Abzug/Spesen
CHF]]</f>
        <v>1474.66</v>
      </c>
      <c r="I609" s="188"/>
      <c r="J609" s="189"/>
      <c r="K609" s="189"/>
      <c r="L609" s="298"/>
      <c r="M609" s="194"/>
      <c r="N609" s="185">
        <v>45558</v>
      </c>
      <c r="O609" s="282" t="str">
        <f>IF(Tableau3384[[#This Row],[Date du paiement]]&gt;0,"",Tableau3384[[#This Row],[Montant
CHF]])</f>
        <v/>
      </c>
      <c r="P609" s="287" t="str">
        <f>IF(Tableau3384[[#This Row],[Date du paiement]]="",$B$4-Tableau3384[[#This Row],[Écheance]],"")</f>
        <v/>
      </c>
      <c r="Q609" s="168" t="str">
        <f>IF(Tableau3384[[#This Row],[Date du paiement]]="",IF(Tableau3384[[#This Row],[jours jusqu''à l''écheance]]&gt;0,Tableau3384[[#This Row],[Montant
CHF]],""),"")</f>
        <v/>
      </c>
      <c r="R609" s="298" t="str">
        <f>IF(Tableau3384[[#This Row],[Date du paiement]]="",IF(Tableau3384[[#This Row],[jours jusqu''à l''écheance]]-($B$4-$B$11-1)&gt;0,Tableau3384[[#This Row],[Montant
CHF]],""),"")</f>
        <v/>
      </c>
      <c r="S609" s="142"/>
      <c r="T609" s="168" t="str">
        <f>IF(Tableau3384[[#This Row],[Paiements prevus]]="oui",Tableau3384[[#This Row],[Montant prevu à payer CH]],"")</f>
        <v/>
      </c>
      <c r="U609" s="177"/>
      <c r="V609" s="192" t="s">
        <v>738</v>
      </c>
      <c r="W609" s="190"/>
      <c r="X609" s="187">
        <v>45558</v>
      </c>
      <c r="Y609" s="181" t="s">
        <v>58</v>
      </c>
      <c r="Z609" s="379" t="str">
        <f>IF(Tableau3384[[#This Row],[Méthode du paiement]]="Mastercard","OUI","")</f>
        <v/>
      </c>
      <c r="AA609" s="180" t="s">
        <v>14</v>
      </c>
      <c r="AB609" s="180" t="s">
        <v>1510</v>
      </c>
    </row>
    <row r="610" spans="1:28" s="184" customFormat="1" hidden="1" x14ac:dyDescent="0.25">
      <c r="A610" s="182" t="s">
        <v>1528</v>
      </c>
      <c r="B610" s="185">
        <v>45548</v>
      </c>
      <c r="C610" s="185">
        <v>45555</v>
      </c>
      <c r="D610" s="186" t="s">
        <v>35</v>
      </c>
      <c r="E610" s="183">
        <f>4514.2</f>
        <v>4514.2</v>
      </c>
      <c r="F610" s="195">
        <v>0</v>
      </c>
      <c r="G610" s="193"/>
      <c r="H610" s="136">
        <f>Tableau3384[[#This Row],[Montant
CHF]]+Tableau3384[[#This Row],[Abzug/Spesen
CHF]]</f>
        <v>4514.2</v>
      </c>
      <c r="I610" s="188"/>
      <c r="J610" s="189"/>
      <c r="K610" s="189"/>
      <c r="L610" s="298"/>
      <c r="M610" s="194" t="s">
        <v>1529</v>
      </c>
      <c r="N610" s="185">
        <v>45575</v>
      </c>
      <c r="O610" s="282" t="str">
        <f>IF(Tableau3384[[#This Row],[Date du paiement]]&gt;0,"",Tableau3384[[#This Row],[Montant
CHF]])</f>
        <v/>
      </c>
      <c r="P610" s="287" t="str">
        <f>IF(Tableau3384[[#This Row],[Date du paiement]]="",$B$4-Tableau3384[[#This Row],[Écheance]],"")</f>
        <v/>
      </c>
      <c r="Q610" s="168" t="str">
        <f>IF(Tableau3384[[#This Row],[Date du paiement]]="",IF(Tableau3384[[#This Row],[jours jusqu''à l''écheance]]&gt;0,Tableau3384[[#This Row],[Montant
CHF]],""),"")</f>
        <v/>
      </c>
      <c r="R610" s="298" t="str">
        <f>IF(Tableau3384[[#This Row],[Date du paiement]]="",IF(Tableau3384[[#This Row],[jours jusqu''à l''écheance]]-($B$4-$B$11-1)&gt;0,Tableau3384[[#This Row],[Montant
CHF]],""),"")</f>
        <v/>
      </c>
      <c r="S610" s="142"/>
      <c r="T610" s="168" t="str">
        <f>IF(Tableau3384[[#This Row],[Paiements prevus]]="oui",Tableau3384[[#This Row],[Montant prevu à payer CH]],"")</f>
        <v/>
      </c>
      <c r="U610" s="177"/>
      <c r="V610" s="192" t="s">
        <v>789</v>
      </c>
      <c r="W610" s="190"/>
      <c r="X610" s="187">
        <v>45575</v>
      </c>
      <c r="Y610" s="181" t="s">
        <v>58</v>
      </c>
      <c r="Z610" s="379" t="str">
        <f>IF(Tableau3384[[#This Row],[Méthode du paiement]]="Mastercard","OUI","")</f>
        <v/>
      </c>
      <c r="AA610" s="180" t="s">
        <v>4</v>
      </c>
      <c r="AB610" s="180" t="s">
        <v>711</v>
      </c>
    </row>
    <row r="611" spans="1:28" s="184" customFormat="1" hidden="1" x14ac:dyDescent="0.25">
      <c r="A611" s="182" t="s">
        <v>1661</v>
      </c>
      <c r="B611" s="185">
        <v>45575</v>
      </c>
      <c r="C611" s="185">
        <v>45583</v>
      </c>
      <c r="D611" s="186" t="s">
        <v>1246</v>
      </c>
      <c r="E611" s="183">
        <v>180.25</v>
      </c>
      <c r="F611" s="195">
        <v>8.1</v>
      </c>
      <c r="G611" s="193"/>
      <c r="H611" s="136">
        <f>Tableau3384[[#This Row],[Montant
CHF]]+Tableau3384[[#This Row],[Abzug/Spesen
CHF]]</f>
        <v>180.25</v>
      </c>
      <c r="I611" s="188"/>
      <c r="J611" s="189"/>
      <c r="K611" s="189"/>
      <c r="L611" s="298"/>
      <c r="M611" s="194"/>
      <c r="N611" s="185">
        <v>45606</v>
      </c>
      <c r="O611" s="282" t="str">
        <f>IF(Tableau3384[[#This Row],[Date du paiement]]&gt;0,"",Tableau3384[[#This Row],[Montant
CHF]])</f>
        <v/>
      </c>
      <c r="P611" s="287" t="str">
        <f>IF(Tableau3384[[#This Row],[Date du paiement]]="",$B$4-Tableau3384[[#This Row],[Écheance]],"")</f>
        <v/>
      </c>
      <c r="Q611" s="168" t="str">
        <f>IF(Tableau3384[[#This Row],[Date du paiement]]="",IF(Tableau3384[[#This Row],[jours jusqu''à l''écheance]]&gt;0,Tableau3384[[#This Row],[Montant
CHF]],""),"")</f>
        <v/>
      </c>
      <c r="R611" s="298" t="str">
        <f>IF(Tableau3384[[#This Row],[Date du paiement]]="",IF(Tableau3384[[#This Row],[jours jusqu''à l''écheance]]-($B$4-$B$11-1)&gt;0,Tableau3384[[#This Row],[Montant
CHF]],""),"")</f>
        <v/>
      </c>
      <c r="S611" s="142"/>
      <c r="T611" s="168" t="str">
        <f>IF(Tableau3384[[#This Row],[Paiements prevus]]="oui",Tableau3384[[#This Row],[Montant prevu à payer CH]],"")</f>
        <v/>
      </c>
      <c r="U611" s="177"/>
      <c r="V611" s="192" t="s">
        <v>735</v>
      </c>
      <c r="W611" s="190"/>
      <c r="X611" s="187">
        <v>45607</v>
      </c>
      <c r="Y611" s="181" t="s">
        <v>58</v>
      </c>
      <c r="Z611" s="379" t="str">
        <f>IF(Tableau3384[[#This Row],[Méthode du paiement]]="Mastercard","OUI","")</f>
        <v/>
      </c>
      <c r="AA611" s="180" t="s">
        <v>1431</v>
      </c>
      <c r="AB611" s="180" t="s">
        <v>1662</v>
      </c>
    </row>
    <row r="612" spans="1:28" s="184" customFormat="1" hidden="1" x14ac:dyDescent="0.25">
      <c r="A612" s="182" t="s">
        <v>1531</v>
      </c>
      <c r="B612" s="185">
        <v>45552</v>
      </c>
      <c r="C612" s="185">
        <v>45555</v>
      </c>
      <c r="D612" s="186" t="s">
        <v>1532</v>
      </c>
      <c r="E612" s="183">
        <v>97.8</v>
      </c>
      <c r="F612" s="195">
        <v>8.1</v>
      </c>
      <c r="G612" s="193"/>
      <c r="H612" s="136">
        <f>Tableau3384[[#This Row],[Montant
CHF]]+Tableau3384[[#This Row],[Abzug/Spesen
CHF]]</f>
        <v>97.8</v>
      </c>
      <c r="I612" s="188"/>
      <c r="J612" s="189"/>
      <c r="K612" s="189"/>
      <c r="L612" s="298"/>
      <c r="M612" s="194"/>
      <c r="N612" s="185">
        <v>45582</v>
      </c>
      <c r="O612" s="282" t="str">
        <f>IF(Tableau3384[[#This Row],[Date du paiement]]&gt;0,"",Tableau3384[[#This Row],[Montant
CHF]])</f>
        <v/>
      </c>
      <c r="P612" s="287" t="str">
        <f>IF(Tableau3384[[#This Row],[Date du paiement]]="",$B$4-Tableau3384[[#This Row],[Écheance]],"")</f>
        <v/>
      </c>
      <c r="Q612" s="168" t="str">
        <f>IF(Tableau3384[[#This Row],[Date du paiement]]="",IF(Tableau3384[[#This Row],[jours jusqu''à l''écheance]]&gt;0,Tableau3384[[#This Row],[Montant
CHF]],""),"")</f>
        <v/>
      </c>
      <c r="R612" s="298" t="str">
        <f>IF(Tableau3384[[#This Row],[Date du paiement]]="",IF(Tableau3384[[#This Row],[jours jusqu''à l''écheance]]-($B$4-$B$11-1)&gt;0,Tableau3384[[#This Row],[Montant
CHF]],""),"")</f>
        <v/>
      </c>
      <c r="S612" s="142"/>
      <c r="T612" s="168" t="str">
        <f>IF(Tableau3384[[#This Row],[Paiements prevus]]="oui",Tableau3384[[#This Row],[Montant prevu à payer CH]],"")</f>
        <v/>
      </c>
      <c r="U612" s="177"/>
      <c r="V612" s="192" t="s">
        <v>735</v>
      </c>
      <c r="W612" s="190"/>
      <c r="X612" s="187">
        <v>45582</v>
      </c>
      <c r="Y612" s="181" t="s">
        <v>58</v>
      </c>
      <c r="Z612" s="379" t="str">
        <f>IF(Tableau3384[[#This Row],[Méthode du paiement]]="Mastercard","OUI","")</f>
        <v/>
      </c>
      <c r="AA612" s="180" t="s">
        <v>1431</v>
      </c>
      <c r="AB612" s="180" t="s">
        <v>1533</v>
      </c>
    </row>
    <row r="613" spans="1:28" s="184" customFormat="1" hidden="1" x14ac:dyDescent="0.25">
      <c r="A613" s="182" t="s">
        <v>1732</v>
      </c>
      <c r="B613" s="185">
        <v>45597</v>
      </c>
      <c r="C613" s="185">
        <v>45597</v>
      </c>
      <c r="D613" s="186" t="s">
        <v>22</v>
      </c>
      <c r="E613" s="183">
        <v>1891.75</v>
      </c>
      <c r="F613" s="195">
        <v>8.1</v>
      </c>
      <c r="G613" s="193">
        <v>-37.83</v>
      </c>
      <c r="H613" s="136">
        <f>Tableau3384[[#This Row],[Montant
CHF]]+Tableau3384[[#This Row],[Abzug/Spesen
CHF]]</f>
        <v>1853.92</v>
      </c>
      <c r="I613" s="188"/>
      <c r="J613" s="189"/>
      <c r="K613" s="189"/>
      <c r="L613" s="298"/>
      <c r="M613" s="194"/>
      <c r="N613" s="185">
        <v>45607</v>
      </c>
      <c r="O613" s="282" t="str">
        <f>IF(Tableau3384[[#This Row],[Date du paiement]]&gt;0,"",Tableau3384[[#This Row],[Montant
CHF]])</f>
        <v/>
      </c>
      <c r="P613" s="287" t="str">
        <f>IF(Tableau3384[[#This Row],[Date du paiement]]="",$B$4-Tableau3384[[#This Row],[Écheance]],"")</f>
        <v/>
      </c>
      <c r="Q613" s="168" t="str">
        <f>IF(Tableau3384[[#This Row],[Date du paiement]]="",IF(Tableau3384[[#This Row],[jours jusqu''à l''écheance]]&gt;0,Tableau3384[[#This Row],[Montant
CHF]],""),"")</f>
        <v/>
      </c>
      <c r="R613" s="298" t="str">
        <f>IF(Tableau3384[[#This Row],[Date du paiement]]="",IF(Tableau3384[[#This Row],[jours jusqu''à l''écheance]]-($B$4-$B$11-1)&gt;0,Tableau3384[[#This Row],[Montant
CHF]],""),"")</f>
        <v/>
      </c>
      <c r="S613" s="142"/>
      <c r="T613" s="168" t="str">
        <f>IF(Tableau3384[[#This Row],[Paiements prevus]]="oui",Tableau3384[[#This Row],[Montant prevu à payer CH]],"")</f>
        <v/>
      </c>
      <c r="U613" s="177"/>
      <c r="V613" s="192" t="s">
        <v>738</v>
      </c>
      <c r="W613" s="190"/>
      <c r="X613" s="187">
        <v>45607</v>
      </c>
      <c r="Y613" s="181" t="s">
        <v>58</v>
      </c>
      <c r="Z613" s="500" t="str">
        <f>IF(Tableau3384[[#This Row],[Méthode du paiement]]="Mastercard","OUI","")</f>
        <v/>
      </c>
      <c r="AA613" s="180" t="s">
        <v>14</v>
      </c>
      <c r="AB613" s="180" t="s">
        <v>1733</v>
      </c>
    </row>
    <row r="614" spans="1:28" s="184" customFormat="1" x14ac:dyDescent="0.25">
      <c r="A614" s="182" t="s">
        <v>1804</v>
      </c>
      <c r="B614" s="185">
        <v>45610</v>
      </c>
      <c r="C614" s="185">
        <v>45611</v>
      </c>
      <c r="D614" s="186" t="s">
        <v>104</v>
      </c>
      <c r="E614" s="438">
        <v>204.96</v>
      </c>
      <c r="F614" s="195">
        <v>8.1</v>
      </c>
      <c r="G614" s="193"/>
      <c r="H614" s="136">
        <f>Tableau3384[[#This Row],[Montant
CHF]]+Tableau3384[[#This Row],[Abzug/Spesen
CHF]]</f>
        <v>204.96</v>
      </c>
      <c r="I614" s="188"/>
      <c r="J614" s="189"/>
      <c r="K614" s="189"/>
      <c r="L614" s="298"/>
      <c r="M614" s="194"/>
      <c r="N614" s="185">
        <v>45604</v>
      </c>
      <c r="O614" s="282" t="str">
        <f>IF(Tableau3384[[#This Row],[Date du paiement]]&gt;0,"",Tableau3384[[#This Row],[Montant
CHF]])</f>
        <v/>
      </c>
      <c r="P614" s="287" t="str">
        <f>IF(Tableau3384[[#This Row],[Date du paiement]]="",$B$4-Tableau3384[[#This Row],[Écheance]],"")</f>
        <v/>
      </c>
      <c r="Q614" s="168" t="str">
        <f>IF(Tableau3384[[#This Row],[Date du paiement]]="",IF(Tableau3384[[#This Row],[jours jusqu''à l''écheance]]&gt;0,Tableau3384[[#This Row],[Montant
CHF]],""),"")</f>
        <v/>
      </c>
      <c r="R614" s="298" t="str">
        <f>IF(Tableau3384[[#This Row],[Date du paiement]]="",IF(Tableau3384[[#This Row],[jours jusqu''à l''écheance]]-($B$4-$B$11-1)&gt;0,Tableau3384[[#This Row],[Montant
CHF]],""),"")</f>
        <v/>
      </c>
      <c r="S614" s="142"/>
      <c r="T614" s="168" t="str">
        <f>IF(Tableau3384[[#This Row],[Paiements prevus]]="oui",Tableau3384[[#This Row],[Montant prevu à payer CH]],"")</f>
        <v/>
      </c>
      <c r="U614" s="177"/>
      <c r="V614" s="192" t="s">
        <v>738</v>
      </c>
      <c r="W614" s="444"/>
      <c r="X614" s="187">
        <v>45608</v>
      </c>
      <c r="Y614" s="181" t="s">
        <v>58</v>
      </c>
      <c r="Z614" s="500" t="str">
        <f>IF(Tableau3384[[#This Row],[Méthode du paiement]]="Mastercard","OUI","")</f>
        <v/>
      </c>
      <c r="AA614" s="180" t="s">
        <v>14</v>
      </c>
      <c r="AB614" s="180" t="s">
        <v>1807</v>
      </c>
    </row>
    <row r="615" spans="1:28" s="184" customFormat="1" hidden="1" x14ac:dyDescent="0.25">
      <c r="A615" s="182" t="s">
        <v>1677</v>
      </c>
      <c r="B615" s="185">
        <v>45554</v>
      </c>
      <c r="C615" s="185">
        <v>45587</v>
      </c>
      <c r="D615" s="186" t="s">
        <v>1678</v>
      </c>
      <c r="E615" s="183">
        <f>Tableau3384[[#This Row],[Montant
EUR]]*Tableau3384[[#This Row],[Taux 
de change]]</f>
        <v>4433.9986547999997</v>
      </c>
      <c r="F615" s="195">
        <v>0</v>
      </c>
      <c r="G615" s="193"/>
      <c r="H615" s="136">
        <f>Tableau3384[[#This Row],[Montant
CHF]]+Tableau3384[[#This Row],[Abzug/Spesen
CHF]]</f>
        <v>4433.9986547999997</v>
      </c>
      <c r="I615" s="188">
        <v>0.94272199999999995</v>
      </c>
      <c r="J615" s="189">
        <v>4703.3999999999996</v>
      </c>
      <c r="K615" s="189"/>
      <c r="L615" s="298"/>
      <c r="M615" s="194"/>
      <c r="N615" s="185">
        <v>45554</v>
      </c>
      <c r="O615" s="282" t="str">
        <f>IF(Tableau3384[[#This Row],[Date du paiement]]&gt;0,"",Tableau3384[[#This Row],[Montant
CHF]])</f>
        <v/>
      </c>
      <c r="P615" s="287" t="str">
        <f>IF(Tableau3384[[#This Row],[Date du paiement]]="",$B$4-Tableau3384[[#This Row],[Écheance]],"")</f>
        <v/>
      </c>
      <c r="Q615" s="168" t="str">
        <f>IF(Tableau3384[[#This Row],[Date du paiement]]="",IF(Tableau3384[[#This Row],[jours jusqu''à l''écheance]]&gt;0,Tableau3384[[#This Row],[Montant
CHF]],""),"")</f>
        <v/>
      </c>
      <c r="R615" s="298" t="str">
        <f>IF(Tableau3384[[#This Row],[Date du paiement]]="",IF(Tableau3384[[#This Row],[jours jusqu''à l''écheance]]&gt;0,Tableau3384[[#This Row],[Montant
CHF]],""),"")</f>
        <v/>
      </c>
      <c r="S615" s="142"/>
      <c r="T615" s="168" t="str">
        <f>IF(Tableau3384[[#This Row],[Paiements prevus]]="oui",Tableau3384[[#This Row],[Montant prevu à payer CH]],"")</f>
        <v/>
      </c>
      <c r="U615" s="177"/>
      <c r="V615" s="192" t="s">
        <v>737</v>
      </c>
      <c r="W615" s="190"/>
      <c r="X615" s="187">
        <v>45554</v>
      </c>
      <c r="Y615" s="181" t="s">
        <v>58</v>
      </c>
      <c r="Z615" s="379" t="str">
        <f>IF(Tableau3384[[#This Row],[Méthode du paiement]]="Mastercard","OUI","")</f>
        <v/>
      </c>
      <c r="AA615" s="180" t="s">
        <v>14</v>
      </c>
      <c r="AB615" s="180" t="s">
        <v>1679</v>
      </c>
    </row>
    <row r="616" spans="1:28" s="184" customFormat="1" hidden="1" x14ac:dyDescent="0.25">
      <c r="A616" s="182" t="s">
        <v>1524</v>
      </c>
      <c r="B616" s="185">
        <v>45554</v>
      </c>
      <c r="C616" s="185">
        <v>45554</v>
      </c>
      <c r="D616" s="186" t="s">
        <v>1525</v>
      </c>
      <c r="E616" s="183">
        <v>908.04</v>
      </c>
      <c r="F616" s="195">
        <v>8.1</v>
      </c>
      <c r="G616" s="193"/>
      <c r="H616" s="136">
        <f>Tableau3384[[#This Row],[Montant
CHF]]+Tableau3384[[#This Row],[Abzug/Spesen
CHF]]</f>
        <v>908.04</v>
      </c>
      <c r="I616" s="188"/>
      <c r="J616" s="189"/>
      <c r="K616" s="189"/>
      <c r="L616" s="298"/>
      <c r="M616" s="194"/>
      <c r="N616" s="439">
        <v>45584</v>
      </c>
      <c r="O616" s="282" t="str">
        <f>IF(Tableau3384[[#This Row],[Date du paiement]]&gt;0,"",Tableau3384[[#This Row],[Montant
CHF]])</f>
        <v/>
      </c>
      <c r="P616" s="287" t="str">
        <f>IF(Tableau3384[[#This Row],[Date du paiement]]="",$B$4-Tableau3384[[#This Row],[Écheance]],"")</f>
        <v/>
      </c>
      <c r="Q616" s="168" t="str">
        <f>IF(Tableau3384[[#This Row],[Date du paiement]]="",IF(Tableau3384[[#This Row],[jours jusqu''à l''écheance]]&gt;0,Tableau3384[[#This Row],[Montant
CHF]],""),"")</f>
        <v/>
      </c>
      <c r="R616" s="298" t="str">
        <f>IF(Tableau3384[[#This Row],[Date du paiement]]="",IF(Tableau3384[[#This Row],[jours jusqu''à l''écheance]]-($B$4-$B$11-1)&gt;0,Tableau3384[[#This Row],[Montant
CHF]],""),"")</f>
        <v/>
      </c>
      <c r="S616" s="142"/>
      <c r="T616" s="168" t="str">
        <f>IF(Tableau3384[[#This Row],[Paiements prevus]]="oui",Tableau3384[[#This Row],[Montant prevu à payer CH]],"")</f>
        <v/>
      </c>
      <c r="U616" s="177"/>
      <c r="V616" s="192" t="s">
        <v>738</v>
      </c>
      <c r="W616" s="190"/>
      <c r="X616" s="187">
        <v>45586</v>
      </c>
      <c r="Y616" s="181" t="s">
        <v>58</v>
      </c>
      <c r="Z616" s="500" t="str">
        <f>IF(Tableau3384[[#This Row],[Méthode du paiement]]="Mastercard","OUI","")</f>
        <v/>
      </c>
      <c r="AA616" s="180" t="s">
        <v>14</v>
      </c>
      <c r="AB616" s="180" t="s">
        <v>1526</v>
      </c>
    </row>
    <row r="617" spans="1:28" s="184" customFormat="1" hidden="1" x14ac:dyDescent="0.25">
      <c r="A617" s="182" t="s">
        <v>1527</v>
      </c>
      <c r="B617" s="185">
        <v>45555</v>
      </c>
      <c r="C617" s="185">
        <v>45555</v>
      </c>
      <c r="D617" s="186" t="s">
        <v>29</v>
      </c>
      <c r="E617" s="183">
        <v>1196.2</v>
      </c>
      <c r="F617" s="195">
        <v>8.1</v>
      </c>
      <c r="G617" s="193"/>
      <c r="H617" s="136">
        <f>Tableau3384[[#This Row],[Montant
CHF]]+Tableau3384[[#This Row],[Abzug/Spesen
CHF]]</f>
        <v>1196.2</v>
      </c>
      <c r="I617" s="188"/>
      <c r="J617" s="189"/>
      <c r="K617" s="189"/>
      <c r="L617" s="298"/>
      <c r="M617" s="194"/>
      <c r="N617" s="185">
        <v>45565</v>
      </c>
      <c r="O617" s="282" t="str">
        <f>IF(Tableau3384[[#This Row],[Date du paiement]]&gt;0,"",Tableau3384[[#This Row],[Montant
CHF]])</f>
        <v/>
      </c>
      <c r="P617" s="287" t="str">
        <f>IF(Tableau3384[[#This Row],[Date du paiement]]="",$B$4-Tableau3384[[#This Row],[Écheance]],"")</f>
        <v/>
      </c>
      <c r="Q617" s="168" t="str">
        <f>IF(Tableau3384[[#This Row],[Date du paiement]]="",IF(Tableau3384[[#This Row],[jours jusqu''à l''écheance]]&gt;0,Tableau3384[[#This Row],[Montant
CHF]],""),"")</f>
        <v/>
      </c>
      <c r="R617" s="298" t="str">
        <f>IF(Tableau3384[[#This Row],[Date du paiement]]="",IF(Tableau3384[[#This Row],[jours jusqu''à l''écheance]]-($B$4-$B$11-1)&gt;0,Tableau3384[[#This Row],[Montant
CHF]],""),"")</f>
        <v/>
      </c>
      <c r="S617" s="142"/>
      <c r="T617" s="168" t="str">
        <f>IF(Tableau3384[[#This Row],[Paiements prevus]]="oui",Tableau3384[[#This Row],[Montant prevu à payer CH]],"")</f>
        <v/>
      </c>
      <c r="U617" s="177"/>
      <c r="V617" s="192" t="s">
        <v>735</v>
      </c>
      <c r="W617" s="444"/>
      <c r="X617" s="187">
        <v>45586</v>
      </c>
      <c r="Y617" s="181" t="s">
        <v>58</v>
      </c>
      <c r="Z617" s="379" t="str">
        <f>IF(Tableau3384[[#This Row],[Méthode du paiement]]="Mastercard","OUI","")</f>
        <v/>
      </c>
      <c r="AA617" s="180" t="s">
        <v>30</v>
      </c>
      <c r="AB617" s="180" t="s">
        <v>1466</v>
      </c>
    </row>
    <row r="618" spans="1:28" s="184" customFormat="1" hidden="1" x14ac:dyDescent="0.25">
      <c r="A618" s="182" t="s">
        <v>1522</v>
      </c>
      <c r="B618" s="185">
        <v>45555</v>
      </c>
      <c r="C618" s="185">
        <v>45558</v>
      </c>
      <c r="D618" s="186" t="s">
        <v>25</v>
      </c>
      <c r="E618" s="183">
        <v>40</v>
      </c>
      <c r="F618" s="195">
        <v>0</v>
      </c>
      <c r="G618" s="193"/>
      <c r="H618" s="136">
        <f>Tableau3384[[#This Row],[Montant
CHF]]+Tableau3384[[#This Row],[Abzug/Spesen
CHF]]</f>
        <v>40</v>
      </c>
      <c r="I618" s="188"/>
      <c r="J618" s="189"/>
      <c r="K618" s="189"/>
      <c r="L618" s="298"/>
      <c r="M618" s="194"/>
      <c r="N618" s="185">
        <v>45575</v>
      </c>
      <c r="O618" s="282" t="str">
        <f>IF(Tableau3384[[#This Row],[Date du paiement]]&gt;0,"",Tableau3384[[#This Row],[Montant
CHF]])</f>
        <v/>
      </c>
      <c r="P618" s="287" t="str">
        <f>IF(Tableau3384[[#This Row],[Date du paiement]]="",$B$4-Tableau3384[[#This Row],[Écheance]],"")</f>
        <v/>
      </c>
      <c r="Q618" s="168" t="str">
        <f>IF(Tableau3384[[#This Row],[Date du paiement]]="",IF(Tableau3384[[#This Row],[jours jusqu''à l''écheance]]&gt;0,Tableau3384[[#This Row],[Montant
CHF]],""),"")</f>
        <v/>
      </c>
      <c r="R618" s="298" t="str">
        <f>IF(Tableau3384[[#This Row],[Date du paiement]]="",IF(Tableau3384[[#This Row],[jours jusqu''à l''écheance]]-($B$4-$B$11-1)&gt;0,Tableau3384[[#This Row],[Montant
CHF]],""),"")</f>
        <v/>
      </c>
      <c r="S618" s="142"/>
      <c r="T618" s="168" t="str">
        <f>IF(Tableau3384[[#This Row],[Paiements prevus]]="oui",Tableau3384[[#This Row],[Montant prevu à payer CH]],"")</f>
        <v/>
      </c>
      <c r="U618" s="177"/>
      <c r="V618" s="192" t="s">
        <v>738</v>
      </c>
      <c r="W618" s="190"/>
      <c r="X618" s="187">
        <v>45586</v>
      </c>
      <c r="Y618" s="181" t="s">
        <v>58</v>
      </c>
      <c r="Z618" s="379" t="str">
        <f>IF(Tableau3384[[#This Row],[Méthode du paiement]]="Mastercard","OUI","")</f>
        <v/>
      </c>
      <c r="AA618" s="180" t="s">
        <v>26</v>
      </c>
      <c r="AB618" s="180" t="s">
        <v>1523</v>
      </c>
    </row>
    <row r="619" spans="1:28" s="184" customFormat="1" hidden="1" x14ac:dyDescent="0.25">
      <c r="A619" s="182" t="s">
        <v>1555</v>
      </c>
      <c r="B619" s="185">
        <v>45555</v>
      </c>
      <c r="C619" s="185">
        <v>45562</v>
      </c>
      <c r="D619" s="186" t="s">
        <v>1059</v>
      </c>
      <c r="E619" s="183">
        <v>1502.2</v>
      </c>
      <c r="F619" s="195">
        <v>2.6</v>
      </c>
      <c r="G619" s="193"/>
      <c r="H619" s="136">
        <f>Tableau3384[[#This Row],[Montant
CHF]]+Tableau3384[[#This Row],[Abzug/Spesen
CHF]]</f>
        <v>1502.2</v>
      </c>
      <c r="I619" s="188"/>
      <c r="J619" s="189"/>
      <c r="K619" s="189"/>
      <c r="L619" s="298"/>
      <c r="M619" s="194"/>
      <c r="N619" s="185">
        <v>45585</v>
      </c>
      <c r="O619" s="282" t="str">
        <f>IF(Tableau3384[[#This Row],[Date du paiement]]&gt;0,"",Tableau3384[[#This Row],[Montant
CHF]])</f>
        <v/>
      </c>
      <c r="P619" s="287" t="str">
        <f>IF(Tableau3384[[#This Row],[Date du paiement]]="",$B$4-Tableau3384[[#This Row],[Écheance]],"")</f>
        <v/>
      </c>
      <c r="Q619" s="168" t="str">
        <f>IF(Tableau3384[[#This Row],[Date du paiement]]="",IF(Tableau3384[[#This Row],[jours jusqu''à l''écheance]]&gt;0,Tableau3384[[#This Row],[Montant
CHF]],""),"")</f>
        <v/>
      </c>
      <c r="R619" s="298" t="str">
        <f>IF(Tableau3384[[#This Row],[Date du paiement]]="",IF(Tableau3384[[#This Row],[jours jusqu''à l''écheance]]-($B$4-$B$11-1)&gt;0,Tableau3384[[#This Row],[Montant
CHF]],""),"")</f>
        <v/>
      </c>
      <c r="S619" s="142"/>
      <c r="T619" s="168" t="str">
        <f>IF(Tableau3384[[#This Row],[Paiements prevus]]="oui",Tableau3384[[#This Row],[Montant prevu à payer CH]],"")</f>
        <v/>
      </c>
      <c r="U619" s="177"/>
      <c r="V619" s="192" t="s">
        <v>738</v>
      </c>
      <c r="W619" s="190"/>
      <c r="X619" s="187">
        <v>45586</v>
      </c>
      <c r="Y619" s="181" t="s">
        <v>58</v>
      </c>
      <c r="Z619" s="379" t="str">
        <f>IF(Tableau3384[[#This Row],[Méthode du paiement]]="Mastercard","OUI","")</f>
        <v/>
      </c>
      <c r="AA619" s="180" t="s">
        <v>14</v>
      </c>
      <c r="AB619" s="180" t="s">
        <v>1556</v>
      </c>
    </row>
    <row r="620" spans="1:28" s="184" customFormat="1" hidden="1" x14ac:dyDescent="0.25">
      <c r="A620" s="182" t="s">
        <v>1560</v>
      </c>
      <c r="B620" s="185">
        <v>45558</v>
      </c>
      <c r="C620" s="185">
        <v>45566</v>
      </c>
      <c r="D620" s="186" t="s">
        <v>253</v>
      </c>
      <c r="E620" s="183">
        <f>Tableau3384[[#This Row],[Montant
EUR]]*Tableau3384[[#This Row],[Taux 
de change]]</f>
        <v>29.991804300000002</v>
      </c>
      <c r="F620" s="195">
        <v>0</v>
      </c>
      <c r="G620" s="193">
        <f>-Tableau3384[[#This Row],[Montant
CHF]]*0.01</f>
        <v>-0.29991804300000002</v>
      </c>
      <c r="H620" s="136">
        <f>Tableau3384[[#This Row],[Montant
CHF]]+Tableau3384[[#This Row],[Abzug/Spesen
CHF]]</f>
        <v>29.691886257</v>
      </c>
      <c r="I620" s="188">
        <v>0.94313849999999999</v>
      </c>
      <c r="J620" s="189">
        <v>31.8</v>
      </c>
      <c r="K620" s="189"/>
      <c r="L620" s="298"/>
      <c r="M620" s="194"/>
      <c r="N620" s="185">
        <v>45554</v>
      </c>
      <c r="O620" s="282" t="str">
        <f>IF(Tableau3384[[#This Row],[Date du paiement]]&gt;0,"",Tableau3384[[#This Row],[Montant
CHF]])</f>
        <v/>
      </c>
      <c r="P620" s="287" t="str">
        <f>IF(Tableau3384[[#This Row],[Date du paiement]]="",$B$4-Tableau3384[[#This Row],[Écheance]],"")</f>
        <v/>
      </c>
      <c r="Q620" s="168" t="str">
        <f>IF(Tableau3384[[#This Row],[Date du paiement]]="",IF(Tableau3384[[#This Row],[jours jusqu''à l''écheance]]&gt;0,Tableau3384[[#This Row],[Montant
CHF]],""),"")</f>
        <v/>
      </c>
      <c r="R620" s="298" t="str">
        <f>IF(Tableau3384[[#This Row],[Date du paiement]]="",IF(Tableau3384[[#This Row],[jours jusqu''à l''écheance]]&gt;0,Tableau3384[[#This Row],[Montant
CHF]],""),"")</f>
        <v/>
      </c>
      <c r="S620" s="142"/>
      <c r="T620" s="168" t="str">
        <f>IF(Tableau3384[[#This Row],[Paiements prevus]]="oui",Tableau3384[[#This Row],[Montant prevu à payer CH]],"")</f>
        <v/>
      </c>
      <c r="U620" s="177"/>
      <c r="V620" s="192" t="s">
        <v>737</v>
      </c>
      <c r="W620" s="190"/>
      <c r="X620" s="187">
        <v>45554</v>
      </c>
      <c r="Y620" s="181" t="s">
        <v>58</v>
      </c>
      <c r="Z620" s="379" t="str">
        <f>IF(Tableau3384[[#This Row],[Méthode du paiement]]="Mastercard","OUI","")</f>
        <v/>
      </c>
      <c r="AA620" s="180" t="s">
        <v>14</v>
      </c>
      <c r="AB620" s="180" t="s">
        <v>1561</v>
      </c>
    </row>
    <row r="621" spans="1:28" s="184" customFormat="1" hidden="1" x14ac:dyDescent="0.25">
      <c r="A621" s="182" t="s">
        <v>1542</v>
      </c>
      <c r="B621" s="185">
        <v>45559</v>
      </c>
      <c r="C621" s="185">
        <v>45561</v>
      </c>
      <c r="D621" s="186" t="s">
        <v>117</v>
      </c>
      <c r="E621" s="183">
        <f>Tableau3384[[#This Row],[Montant
EUR]]*Tableau3384[[#This Row],[Taux 
de change]]</f>
        <v>12035.050649000001</v>
      </c>
      <c r="F621" s="195">
        <v>0</v>
      </c>
      <c r="G621" s="193"/>
      <c r="H621" s="136">
        <f>Tableau3384[[#This Row],[Montant
CHF]]+Tableau3384[[#This Row],[Abzug/Spesen
CHF]]</f>
        <v>12035.050649000001</v>
      </c>
      <c r="I621" s="188">
        <v>0.94252100000000005</v>
      </c>
      <c r="J621" s="189">
        <v>12769</v>
      </c>
      <c r="K621" s="189"/>
      <c r="L621" s="298"/>
      <c r="M621" s="194"/>
      <c r="N621" s="185">
        <v>45589</v>
      </c>
      <c r="O621" s="282" t="str">
        <f>IF(Tableau3384[[#This Row],[Date du paiement]]&gt;0,"",Tableau3384[[#This Row],[Montant
CHF]])</f>
        <v/>
      </c>
      <c r="P621" s="287" t="str">
        <f>IF(Tableau3384[[#This Row],[Date du paiement]]="",$B$4-Tableau3384[[#This Row],[Écheance]],"")</f>
        <v/>
      </c>
      <c r="Q621" s="168" t="str">
        <f>IF(Tableau3384[[#This Row],[Date du paiement]]="",IF(Tableau3384[[#This Row],[jours jusqu''à l''écheance]]&gt;0,Tableau3384[[#This Row],[Montant
CHF]],""),"")</f>
        <v/>
      </c>
      <c r="R621" s="298" t="str">
        <f>IF(Tableau3384[[#This Row],[Date du paiement]]="",IF(Tableau3384[[#This Row],[jours jusqu''à l''écheance]]-($B$4-$B$11-1)&gt;0,Tableau3384[[#This Row],[Montant
CHF]],""),"")</f>
        <v/>
      </c>
      <c r="S621" s="142"/>
      <c r="T621" s="168" t="str">
        <f>IF(Tableau3384[[#This Row],[Paiements prevus]]="oui",Tableau3384[[#This Row],[Montant prevu à payer CH]],"")</f>
        <v/>
      </c>
      <c r="U621" s="177"/>
      <c r="V621" s="192" t="s">
        <v>737</v>
      </c>
      <c r="W621" s="444"/>
      <c r="X621" s="441">
        <v>45590</v>
      </c>
      <c r="Y621" s="181" t="s">
        <v>58</v>
      </c>
      <c r="Z621" s="379" t="str">
        <f>IF(Tableau3384[[#This Row],[Méthode du paiement]]="Mastercard","OUI","")</f>
        <v/>
      </c>
      <c r="AA621" s="180" t="s">
        <v>1543</v>
      </c>
      <c r="AB621" s="180" t="s">
        <v>1544</v>
      </c>
    </row>
    <row r="622" spans="1:28" s="184" customFormat="1" hidden="1" x14ac:dyDescent="0.25">
      <c r="A622" s="182" t="s">
        <v>1562</v>
      </c>
      <c r="B622" s="185">
        <v>45559</v>
      </c>
      <c r="C622" s="185">
        <v>45565</v>
      </c>
      <c r="D622" s="186" t="s">
        <v>823</v>
      </c>
      <c r="E622" s="183">
        <f>Tableau3384[[#This Row],[Montant
EUR]]*Tableau3384[[#This Row],[Taux 
de change]]</f>
        <v>9687.5010000000002</v>
      </c>
      <c r="F622" s="195">
        <v>0</v>
      </c>
      <c r="G622" s="193"/>
      <c r="H622" s="136">
        <f>Tableau3384[[#This Row],[Montant
CHF]]+Tableau3384[[#This Row],[Abzug/Spesen
CHF]]</f>
        <v>9687.5010000000002</v>
      </c>
      <c r="I622" s="188">
        <v>1.02</v>
      </c>
      <c r="J622" s="189">
        <v>9497.5499999999993</v>
      </c>
      <c r="K622" s="189"/>
      <c r="L622" s="298"/>
      <c r="M622" s="194"/>
      <c r="N622" s="185">
        <v>45574</v>
      </c>
      <c r="O622" s="282" t="str">
        <f>IF(Tableau3384[[#This Row],[Date du paiement]]&gt;0,"",Tableau3384[[#This Row],[Montant
CHF]])</f>
        <v/>
      </c>
      <c r="P622" s="287" t="str">
        <f>IF(Tableau3384[[#This Row],[Date du paiement]]="",$B$4-Tableau3384[[#This Row],[Écheance]],"")</f>
        <v/>
      </c>
      <c r="Q622" s="168" t="str">
        <f>IF(Tableau3384[[#This Row],[Date du paiement]]="",IF(Tableau3384[[#This Row],[jours jusqu''à l''écheance]]&gt;0,Tableau3384[[#This Row],[Montant
CHF]],""),"")</f>
        <v/>
      </c>
      <c r="R622" s="298" t="str">
        <f>IF(Tableau3384[[#This Row],[Date du paiement]]="",IF(Tableau3384[[#This Row],[jours jusqu''à l''écheance]]&gt;0,Tableau3384[[#This Row],[Montant
CHF]],""),"")</f>
        <v/>
      </c>
      <c r="S622" s="142"/>
      <c r="T622" s="168" t="str">
        <f>IF(Tableau3384[[#This Row],[Paiements prevus]]="oui",Tableau3384[[#This Row],[Montant prevu à payer CH]],"")</f>
        <v/>
      </c>
      <c r="U622" s="177"/>
      <c r="V622" s="192" t="s">
        <v>737</v>
      </c>
      <c r="W622" s="190"/>
      <c r="X622" s="187">
        <v>45572</v>
      </c>
      <c r="Y622" s="181" t="s">
        <v>58</v>
      </c>
      <c r="Z622" s="379" t="str">
        <f>IF(Tableau3384[[#This Row],[Méthode du paiement]]="Mastercard","OUI","")</f>
        <v/>
      </c>
      <c r="AA622" s="180" t="s">
        <v>14</v>
      </c>
      <c r="AB622" s="180" t="s">
        <v>1563</v>
      </c>
    </row>
    <row r="623" spans="1:28" s="184" customFormat="1" hidden="1" x14ac:dyDescent="0.25">
      <c r="A623" s="182" t="s">
        <v>1540</v>
      </c>
      <c r="B623" s="185">
        <v>45559</v>
      </c>
      <c r="C623" s="185">
        <v>45561</v>
      </c>
      <c r="D623" s="186" t="s">
        <v>13</v>
      </c>
      <c r="E623" s="183">
        <f>Tableau3384[[#This Row],[Montant
EUR]]*Tableau3384[[#This Row],[Taux 
de change]]</f>
        <v>30789.495599999998</v>
      </c>
      <c r="F623" s="195">
        <v>0</v>
      </c>
      <c r="G623" s="193"/>
      <c r="H623" s="136">
        <f>Tableau3384[[#This Row],[Montant
CHF]]+Tableau3384[[#This Row],[Abzug/Spesen
CHF]]</f>
        <v>30789.495599999998</v>
      </c>
      <c r="I623" s="188">
        <v>1.02</v>
      </c>
      <c r="J623" s="189">
        <v>30185.78</v>
      </c>
      <c r="K623" s="189"/>
      <c r="L623" s="298"/>
      <c r="M623" s="194"/>
      <c r="N623" s="185">
        <v>45620</v>
      </c>
      <c r="O623" s="282">
        <f>IF(Tableau3384[[#This Row],[Date du paiement]]&gt;0,"",Tableau3384[[#This Row],[Montant
CHF]])</f>
        <v>30789.495599999998</v>
      </c>
      <c r="P623" s="287">
        <f ca="1">IF(Tableau3384[[#This Row],[Date du paiement]]="",$B$4-Tableau3384[[#This Row],[Écheance]],"")</f>
        <v>-2.5305746527810697</v>
      </c>
      <c r="Q623" s="168" t="str">
        <f ca="1">IF(Tableau3384[[#This Row],[Date du paiement]]="",IF(Tableau3384[[#This Row],[jours jusqu''à l''écheance]]&gt;0,Tableau3384[[#This Row],[Montant
CHF]],""),"")</f>
        <v/>
      </c>
      <c r="R623" s="298">
        <f ca="1">IF(Tableau3384[[#This Row],[Date du paiement]]="",IF(Tableau3384[[#This Row],[jours jusqu''à l''écheance]]-($B$4-$B$11-1)&gt;0,Tableau3384[[#This Row],[Montant
CHF]],""),"")</f>
        <v>30789.495599999998</v>
      </c>
      <c r="S623" s="142" t="s">
        <v>634</v>
      </c>
      <c r="T623" s="168">
        <f>IF(Tableau3384[[#This Row],[Paiements prevus]]="oui",Tableau3384[[#This Row],[Montant prevu à payer CH]],"")</f>
        <v>30789.495599999998</v>
      </c>
      <c r="U623" s="177"/>
      <c r="V623" s="192" t="s">
        <v>737</v>
      </c>
      <c r="W623" s="190"/>
      <c r="X623" s="187"/>
      <c r="Y623" s="181"/>
      <c r="Z623" s="379" t="str">
        <f>IF(Tableau3384[[#This Row],[Méthode du paiement]]="Mastercard","OUI","")</f>
        <v/>
      </c>
      <c r="AA623" s="180" t="s">
        <v>14</v>
      </c>
      <c r="AB623" s="180" t="s">
        <v>1541</v>
      </c>
    </row>
    <row r="624" spans="1:28" s="184" customFormat="1" hidden="1" x14ac:dyDescent="0.25">
      <c r="A624" s="182" t="s">
        <v>1573</v>
      </c>
      <c r="B624" s="185">
        <v>45560</v>
      </c>
      <c r="C624" s="185">
        <v>45560</v>
      </c>
      <c r="D624" s="186" t="s">
        <v>196</v>
      </c>
      <c r="E624" s="183">
        <v>567.9</v>
      </c>
      <c r="F624" s="195">
        <v>8.1</v>
      </c>
      <c r="G624" s="193"/>
      <c r="H624" s="136">
        <f>Tableau3384[[#This Row],[Montant
CHF]]+Tableau3384[[#This Row],[Abzug/Spesen
CHF]]</f>
        <v>567.9</v>
      </c>
      <c r="I624" s="188"/>
      <c r="J624" s="189"/>
      <c r="K624" s="189"/>
      <c r="L624" s="298"/>
      <c r="M624" s="194" t="s">
        <v>1572</v>
      </c>
      <c r="N624" s="185">
        <v>45570</v>
      </c>
      <c r="O624" s="282" t="str">
        <f>IF(Tableau3384[[#This Row],[Date du paiement]]&gt;0,"",Tableau3384[[#This Row],[Montant
CHF]])</f>
        <v/>
      </c>
      <c r="P624" s="287" t="str">
        <f>IF(Tableau3384[[#This Row],[Date du paiement]]="",$B$4-Tableau3384[[#This Row],[Écheance]],"")</f>
        <v/>
      </c>
      <c r="Q624" s="168" t="str">
        <f>IF(Tableau3384[[#This Row],[Date du paiement]]="",IF(Tableau3384[[#This Row],[jours jusqu''à l''écheance]]&gt;0,Tableau3384[[#This Row],[Montant
CHF]],""),"")</f>
        <v/>
      </c>
      <c r="R624" s="298" t="str">
        <f>IF(Tableau3384[[#This Row],[Date du paiement]]="",IF(Tableau3384[[#This Row],[jours jusqu''à l''écheance]]-($B$4-$B$11-1)&gt;0,Tableau3384[[#This Row],[Montant
CHF]],""),"")</f>
        <v/>
      </c>
      <c r="S624" s="142"/>
      <c r="T624" s="168" t="str">
        <f>IF(Tableau3384[[#This Row],[Paiements prevus]]="oui",Tableau3384[[#This Row],[Montant prevu à payer CH]],"")</f>
        <v/>
      </c>
      <c r="U624" s="177"/>
      <c r="V624" s="192" t="s">
        <v>735</v>
      </c>
      <c r="W624" s="190"/>
      <c r="X624" s="187">
        <v>45595</v>
      </c>
      <c r="Y624" s="181" t="s">
        <v>58</v>
      </c>
      <c r="Z624" s="379" t="str">
        <f>IF(Tableau3384[[#This Row],[Méthode du paiement]]="Mastercard","OUI","")</f>
        <v/>
      </c>
      <c r="AA624" s="180" t="s">
        <v>4</v>
      </c>
      <c r="AB624" s="180" t="s">
        <v>1547</v>
      </c>
    </row>
    <row r="625" spans="1:28" s="184" customFormat="1" hidden="1" x14ac:dyDescent="0.25">
      <c r="A625" s="182" t="s">
        <v>1574</v>
      </c>
      <c r="B625" s="185">
        <v>45560</v>
      </c>
      <c r="C625" s="185">
        <v>45562</v>
      </c>
      <c r="D625" s="186" t="s">
        <v>216</v>
      </c>
      <c r="E625" s="183">
        <v>4196.3</v>
      </c>
      <c r="F625" s="195">
        <v>100</v>
      </c>
      <c r="G625" s="193"/>
      <c r="H625" s="136">
        <f>Tableau3384[[#This Row],[Montant
CHF]]+Tableau3384[[#This Row],[Abzug/Spesen
CHF]]</f>
        <v>4196.3</v>
      </c>
      <c r="I625" s="188"/>
      <c r="J625" s="189"/>
      <c r="K625" s="189"/>
      <c r="L625" s="298"/>
      <c r="M625" s="194"/>
      <c r="N625" s="185">
        <v>45621</v>
      </c>
      <c r="O625" s="282">
        <f>IF(Tableau3384[[#This Row],[Date du paiement]]&gt;0,"",Tableau3384[[#This Row],[Montant
CHF]])</f>
        <v>4196.3</v>
      </c>
      <c r="P625" s="287">
        <f ca="1">IF(Tableau3384[[#This Row],[Date du paiement]]="",$B$4-Tableau3384[[#This Row],[Écheance]],"")</f>
        <v>-3.5305746527810697</v>
      </c>
      <c r="Q625" s="168" t="str">
        <f ca="1">IF(Tableau3384[[#This Row],[Date du paiement]]="",IF(Tableau3384[[#This Row],[jours jusqu''à l''écheance]]&gt;0,Tableau3384[[#This Row],[Montant
CHF]],""),"")</f>
        <v/>
      </c>
      <c r="R625" s="298">
        <f ca="1">IF(Tableau3384[[#This Row],[Date du paiement]]="",IF(Tableau3384[[#This Row],[jours jusqu''à l''écheance]]-($B$4-$B$11-1)&gt;0,Tableau3384[[#This Row],[Montant
CHF]],""),"")</f>
        <v>4196.3</v>
      </c>
      <c r="S625" s="142" t="s">
        <v>634</v>
      </c>
      <c r="T625" s="168">
        <f>IF(Tableau3384[[#This Row],[Paiements prevus]]="oui",Tableau3384[[#This Row],[Montant prevu à payer CH]],"")</f>
        <v>4196.3</v>
      </c>
      <c r="U625" s="177"/>
      <c r="V625" s="192" t="s">
        <v>736</v>
      </c>
      <c r="W625" s="190"/>
      <c r="X625" s="187"/>
      <c r="Y625" s="181"/>
      <c r="Z625" s="379" t="str">
        <f>IF(Tableau3384[[#This Row],[Méthode du paiement]]="Mastercard","OUI","")</f>
        <v/>
      </c>
      <c r="AA625" s="180" t="s">
        <v>604</v>
      </c>
      <c r="AB625" s="180" t="s">
        <v>1576</v>
      </c>
    </row>
    <row r="626" spans="1:28" s="184" customFormat="1" hidden="1" x14ac:dyDescent="0.25">
      <c r="A626" s="182" t="s">
        <v>1538</v>
      </c>
      <c r="B626" s="185">
        <v>45561</v>
      </c>
      <c r="C626" s="185">
        <v>45561</v>
      </c>
      <c r="D626" s="186" t="s">
        <v>25</v>
      </c>
      <c r="E626" s="183">
        <v>40</v>
      </c>
      <c r="F626" s="195">
        <v>0</v>
      </c>
      <c r="G626" s="193"/>
      <c r="H626" s="136">
        <f>Tableau3384[[#This Row],[Montant
CHF]]+Tableau3384[[#This Row],[Abzug/Spesen
CHF]]</f>
        <v>40</v>
      </c>
      <c r="I626" s="188"/>
      <c r="J626" s="189"/>
      <c r="K626" s="189"/>
      <c r="L626" s="298"/>
      <c r="M626" s="194"/>
      <c r="N626" s="185">
        <v>45581</v>
      </c>
      <c r="O626" s="282" t="str">
        <f>IF(Tableau3384[[#This Row],[Date du paiement]]&gt;0,"",Tableau3384[[#This Row],[Montant
CHF]])</f>
        <v/>
      </c>
      <c r="P626" s="287" t="str">
        <f>IF(Tableau3384[[#This Row],[Date du paiement]]="",$B$4-Tableau3384[[#This Row],[Écheance]],"")</f>
        <v/>
      </c>
      <c r="Q626" s="168" t="str">
        <f>IF(Tableau3384[[#This Row],[Date du paiement]]="",IF(Tableau3384[[#This Row],[jours jusqu''à l''écheance]]&gt;0,Tableau3384[[#This Row],[Montant
CHF]],""),"")</f>
        <v/>
      </c>
      <c r="R626" s="298" t="str">
        <f>IF(Tableau3384[[#This Row],[Date du paiement]]="",IF(Tableau3384[[#This Row],[jours jusqu''à l''écheance]]-($B$4-$B$11-1)&gt;0,Tableau3384[[#This Row],[Montant
CHF]],""),"")</f>
        <v/>
      </c>
      <c r="S626" s="142"/>
      <c r="T626" s="168" t="str">
        <f>IF(Tableau3384[[#This Row],[Paiements prevus]]="oui",Tableau3384[[#This Row],[Montant prevu à payer CH]],"")</f>
        <v/>
      </c>
      <c r="U626" s="177"/>
      <c r="V626" s="192" t="s">
        <v>738</v>
      </c>
      <c r="W626" s="190"/>
      <c r="X626" s="187">
        <v>45593</v>
      </c>
      <c r="Y626" s="181" t="s">
        <v>58</v>
      </c>
      <c r="Z626" s="379" t="str">
        <f>IF(Tableau3384[[#This Row],[Méthode du paiement]]="Mastercard","OUI","")</f>
        <v/>
      </c>
      <c r="AA626" s="180" t="s">
        <v>26</v>
      </c>
      <c r="AB626" s="180" t="s">
        <v>1539</v>
      </c>
    </row>
    <row r="627" spans="1:28" s="184" customFormat="1" hidden="1" x14ac:dyDescent="0.25">
      <c r="A627" s="182" t="s">
        <v>409</v>
      </c>
      <c r="B627" s="185">
        <v>45562</v>
      </c>
      <c r="C627" s="185">
        <v>45575</v>
      </c>
      <c r="D627" s="186" t="s">
        <v>399</v>
      </c>
      <c r="E627" s="183">
        <f>Tableau3384[[#This Row],[Montant
USD]]*Tableau3384[[#This Row],[Taux 
de change]]</f>
        <v>3769.5915988499996</v>
      </c>
      <c r="F627" s="195">
        <v>0</v>
      </c>
      <c r="G627" s="193"/>
      <c r="H627" s="136">
        <f>Tableau3384[[#This Row],[Montant
CHF]]+Tableau3384[[#This Row],[Abzug/Spesen
CHF]]</f>
        <v>3769.5915988499996</v>
      </c>
      <c r="I627" s="188">
        <v>0.90911299999999995</v>
      </c>
      <c r="J627" s="189"/>
      <c r="K627" s="189">
        <v>4146.45</v>
      </c>
      <c r="L627" s="298" t="s">
        <v>412</v>
      </c>
      <c r="M627" s="194" t="s">
        <v>816</v>
      </c>
      <c r="N627" s="185">
        <v>45391</v>
      </c>
      <c r="O627" s="282" t="str">
        <f>IF(Tableau3384[[#This Row],[Date du paiement]]&gt;0,"",Tableau3384[[#This Row],[Montant
CHF]])</f>
        <v/>
      </c>
      <c r="P627" s="474" t="str">
        <f>IF(Tableau3384[[#This Row],[Date du paiement]]="",$B$4-Tableau3384[[#This Row],[Écheance]],"")</f>
        <v/>
      </c>
      <c r="Q627" s="168" t="str">
        <f>IF(Tableau3384[[#This Row],[Date du paiement]]="",IF(Tableau3384[[#This Row],[jours jusqu''à l''écheance]]&gt;0,Tableau3384[[#This Row],[Montant
CHF]],""),"")</f>
        <v/>
      </c>
      <c r="R627" s="298" t="str">
        <f>IF(Tableau3384[[#This Row],[Date du paiement]]="",IF(Tableau3384[[#This Row],[jours jusqu''à l''écheance]]-($B$4-$B$11-1)&gt;0,Tableau3384[[#This Row],[Montant
CHF]],""),"")</f>
        <v/>
      </c>
      <c r="S627" s="142"/>
      <c r="T627" s="168" t="str">
        <f>IF(Tableau3384[[#This Row],[Paiements prevus]]="oui",Tableau3384[[#This Row],[Montant prevu à payer CH]],"")</f>
        <v/>
      </c>
      <c r="U627" s="448"/>
      <c r="V627" s="192" t="s">
        <v>1557</v>
      </c>
      <c r="W627" s="190" t="s">
        <v>1157</v>
      </c>
      <c r="X627" s="187">
        <v>45391</v>
      </c>
      <c r="Y627" s="181" t="s">
        <v>58</v>
      </c>
      <c r="Z627" s="447" t="str">
        <f>IF(Tableau3384[[#This Row],[Méthode du paiement]]="Mastercard","OUI","")</f>
        <v/>
      </c>
      <c r="AA627" s="180" t="s">
        <v>14</v>
      </c>
      <c r="AB627" s="180" t="s">
        <v>411</v>
      </c>
    </row>
    <row r="628" spans="1:28" s="184" customFormat="1" hidden="1" x14ac:dyDescent="0.25">
      <c r="A628" s="182" t="s">
        <v>410</v>
      </c>
      <c r="B628" s="185">
        <v>45562</v>
      </c>
      <c r="C628" s="185">
        <v>45575</v>
      </c>
      <c r="D628" s="186" t="s">
        <v>399</v>
      </c>
      <c r="E628" s="183">
        <f>Tableau3384[[#This Row],[Montant
USD]]*Tableau3384[[#This Row],[Taux 
de change]]</f>
        <v>8752.8242339999997</v>
      </c>
      <c r="F628" s="195">
        <v>0</v>
      </c>
      <c r="G628" s="193"/>
      <c r="H628" s="136">
        <f>Tableau3384[[#This Row],[Montant
CHF]]+Tableau3384[[#This Row],[Abzug/Spesen
CHF]]</f>
        <v>8752.8242339999997</v>
      </c>
      <c r="I628" s="188">
        <v>0.90468000000000004</v>
      </c>
      <c r="J628" s="189"/>
      <c r="K628" s="189">
        <v>9675.0499999999993</v>
      </c>
      <c r="L628" s="298" t="s">
        <v>412</v>
      </c>
      <c r="M628" s="194" t="s">
        <v>1160</v>
      </c>
      <c r="N628" s="185">
        <v>45480</v>
      </c>
      <c r="O628" s="282" t="str">
        <f>IF(Tableau3384[[#This Row],[Date du paiement]]&gt;0,"",Tableau3384[[#This Row],[Montant
CHF]])</f>
        <v/>
      </c>
      <c r="P628" s="474" t="str">
        <f>IF(Tableau3384[[#This Row],[Date du paiement]]="",$B$4-Tableau3384[[#This Row],[Écheance]],"")</f>
        <v/>
      </c>
      <c r="Q628" s="168" t="str">
        <f>IF(Tableau3384[[#This Row],[Date du paiement]]="",IF(Tableau3384[[#This Row],[jours jusqu''à l''écheance]]&gt;0,Tableau3384[[#This Row],[Montant
CHF]],""),"")</f>
        <v/>
      </c>
      <c r="R628" s="298" t="str">
        <f>IF(Tableau3384[[#This Row],[Date du paiement]]="",IF(Tableau3384[[#This Row],[jours jusqu''à l''écheance]]-($B$4-$B$11-1)&gt;0,Tableau3384[[#This Row],[Montant
CHF]],""),"")</f>
        <v/>
      </c>
      <c r="S628" s="142"/>
      <c r="T628" s="168" t="str">
        <f>IF(Tableau3384[[#This Row],[Paiements prevus]]="oui",Tableau3384[[#This Row],[Montant prevu à payer CH]],"")</f>
        <v/>
      </c>
      <c r="U628" s="448"/>
      <c r="V628" s="192" t="s">
        <v>1557</v>
      </c>
      <c r="W628" s="190" t="s">
        <v>1159</v>
      </c>
      <c r="X628" s="187">
        <v>45474</v>
      </c>
      <c r="Y628" s="181" t="s">
        <v>58</v>
      </c>
      <c r="Z628" s="447" t="str">
        <f>IF(Tableau3384[[#This Row],[Méthode du paiement]]="Mastercard","OUI","")</f>
        <v/>
      </c>
      <c r="AA628" s="180" t="s">
        <v>14</v>
      </c>
      <c r="AB628" s="180" t="s">
        <v>411</v>
      </c>
    </row>
    <row r="629" spans="1:28" s="184" customFormat="1" hidden="1" x14ac:dyDescent="0.25">
      <c r="A629" s="182" t="s">
        <v>1552</v>
      </c>
      <c r="B629" s="185">
        <v>45562</v>
      </c>
      <c r="C629" s="185">
        <v>45562</v>
      </c>
      <c r="D629" s="186" t="s">
        <v>1553</v>
      </c>
      <c r="E629" s="183">
        <v>10303.61</v>
      </c>
      <c r="F629" s="195">
        <v>0</v>
      </c>
      <c r="G629" s="193"/>
      <c r="H629" s="136">
        <f>Tableau3384[[#This Row],[Montant
CHF]]+Tableau3384[[#This Row],[Abzug/Spesen
CHF]]</f>
        <v>10303.61</v>
      </c>
      <c r="I629" s="188"/>
      <c r="J629" s="189"/>
      <c r="K629" s="189"/>
      <c r="L629" s="298"/>
      <c r="M629" s="194"/>
      <c r="N629" s="185">
        <v>45572</v>
      </c>
      <c r="O629" s="282" t="str">
        <f>IF(Tableau3384[[#This Row],[Date du paiement]]&gt;0,"",Tableau3384[[#This Row],[Montant
CHF]])</f>
        <v/>
      </c>
      <c r="P629" s="287" t="str">
        <f>IF(Tableau3384[[#This Row],[Date du paiement]]="",$B$4-Tableau3384[[#This Row],[Écheance]],"")</f>
        <v/>
      </c>
      <c r="Q629" s="168" t="str">
        <f>IF(Tableau3384[[#This Row],[Date du paiement]]="",IF(Tableau3384[[#This Row],[jours jusqu''à l''écheance]]&gt;0,Tableau3384[[#This Row],[Montant
CHF]],""),"")</f>
        <v/>
      </c>
      <c r="R629" s="298" t="str">
        <f>IF(Tableau3384[[#This Row],[Date du paiement]]="",IF(Tableau3384[[#This Row],[jours jusqu''à l''écheance]]-($B$4-$B$11-1)&gt;0,Tableau3384[[#This Row],[Montant
CHF]],""),"")</f>
        <v/>
      </c>
      <c r="S629" s="142"/>
      <c r="T629" s="168" t="str">
        <f>IF(Tableau3384[[#This Row],[Paiements prevus]]="oui",Tableau3384[[#This Row],[Montant prevu à payer CH]],"")</f>
        <v/>
      </c>
      <c r="U629" s="177"/>
      <c r="V629" s="192" t="s">
        <v>738</v>
      </c>
      <c r="W629" s="444"/>
      <c r="X629" s="187">
        <v>45593</v>
      </c>
      <c r="Y629" s="181" t="s">
        <v>58</v>
      </c>
      <c r="Z629" s="379" t="str">
        <f>IF(Tableau3384[[#This Row],[Méthode du paiement]]="Mastercard","OUI","")</f>
        <v/>
      </c>
      <c r="AA629" s="180" t="s">
        <v>11</v>
      </c>
      <c r="AB629" s="180" t="s">
        <v>1554</v>
      </c>
    </row>
    <row r="630" spans="1:28" s="184" customFormat="1" hidden="1" x14ac:dyDescent="0.25">
      <c r="A630" s="182" t="s">
        <v>1660</v>
      </c>
      <c r="B630" s="185">
        <v>45563</v>
      </c>
      <c r="C630" s="185">
        <v>45583</v>
      </c>
      <c r="D630" s="186" t="s">
        <v>1659</v>
      </c>
      <c r="E630" s="183">
        <v>2885.5</v>
      </c>
      <c r="F630" s="195">
        <v>0</v>
      </c>
      <c r="G630" s="193"/>
      <c r="H630" s="136">
        <f>Tableau3384[[#This Row],[Montant
CHF]]+Tableau3384[[#This Row],[Abzug/Spesen
CHF]]</f>
        <v>2885.5</v>
      </c>
      <c r="I630" s="188"/>
      <c r="J630" s="189"/>
      <c r="K630" s="189"/>
      <c r="L630" s="298"/>
      <c r="M630" s="194" t="s">
        <v>1700</v>
      </c>
      <c r="N630" s="185">
        <v>45602</v>
      </c>
      <c r="O630" s="282" t="str">
        <f>IF(Tableau3384[[#This Row],[Date du paiement]]&gt;0,"",Tableau3384[[#This Row],[Montant
CHF]])</f>
        <v/>
      </c>
      <c r="P630" s="287" t="str">
        <f>IF(Tableau3384[[#This Row],[Date du paiement]]="",$B$4-Tableau3384[[#This Row],[Écheance]],"")</f>
        <v/>
      </c>
      <c r="Q630" s="168" t="str">
        <f>IF(Tableau3384[[#This Row],[Date du paiement]]="",IF(Tableau3384[[#This Row],[jours jusqu''à l''écheance]]&gt;0,Tableau3384[[#This Row],[Montant
CHF]],""),"")</f>
        <v/>
      </c>
      <c r="R630" s="298" t="str">
        <f>IF(Tableau3384[[#This Row],[Date du paiement]]="",IF(Tableau3384[[#This Row],[jours jusqu''à l''écheance]]-($B$4-$B$11-1)&gt;0,Tableau3384[[#This Row],[Montant
CHF]],""),"")</f>
        <v/>
      </c>
      <c r="S630" s="142"/>
      <c r="T630" s="168" t="str">
        <f>IF(Tableau3384[[#This Row],[Paiements prevus]]="oui",Tableau3384[[#This Row],[Montant prevu à payer CH]],"")</f>
        <v/>
      </c>
      <c r="U630" s="177"/>
      <c r="V630" s="192" t="s">
        <v>735</v>
      </c>
      <c r="W630" s="480"/>
      <c r="X630" s="187">
        <v>45602</v>
      </c>
      <c r="Y630" s="181" t="s">
        <v>58</v>
      </c>
      <c r="Z630" s="379" t="str">
        <f>IF(Tableau3384[[#This Row],[Méthode du paiement]]="Mastercard","OUI","")</f>
        <v/>
      </c>
      <c r="AA630" s="435" t="s">
        <v>1431</v>
      </c>
      <c r="AB630" s="180" t="s">
        <v>1701</v>
      </c>
    </row>
    <row r="631" spans="1:28" s="184" customFormat="1" hidden="1" x14ac:dyDescent="0.25">
      <c r="A631" s="182" t="s">
        <v>1569</v>
      </c>
      <c r="B631" s="185">
        <v>45565</v>
      </c>
      <c r="C631" s="185">
        <v>45565</v>
      </c>
      <c r="D631" s="186" t="s">
        <v>29</v>
      </c>
      <c r="E631" s="183">
        <v>276.75</v>
      </c>
      <c r="F631" s="195">
        <v>8.1</v>
      </c>
      <c r="G631" s="193"/>
      <c r="H631" s="136">
        <f>Tableau3384[[#This Row],[Montant
CHF]]+Tableau3384[[#This Row],[Abzug/Spesen
CHF]]</f>
        <v>276.75</v>
      </c>
      <c r="I631" s="188"/>
      <c r="J631" s="189"/>
      <c r="K631" s="189"/>
      <c r="L631" s="298"/>
      <c r="M631" s="194"/>
      <c r="N631" s="185">
        <v>45565</v>
      </c>
      <c r="O631" s="282" t="str">
        <f>IF(Tableau3384[[#This Row],[Date du paiement]]&gt;0,"",Tableau3384[[#This Row],[Montant
CHF]])</f>
        <v/>
      </c>
      <c r="P631" s="287" t="str">
        <f>IF(Tableau3384[[#This Row],[Date du paiement]]="",$B$4-Tableau3384[[#This Row],[Écheance]],"")</f>
        <v/>
      </c>
      <c r="Q631" s="168" t="str">
        <f>IF(Tableau3384[[#This Row],[Date du paiement]]="",IF(Tableau3384[[#This Row],[jours jusqu''à l''écheance]]&gt;0,Tableau3384[[#This Row],[Montant
CHF]],""),"")</f>
        <v/>
      </c>
      <c r="R631" s="298" t="str">
        <f>IF(Tableau3384[[#This Row],[Date du paiement]]="",IF(Tableau3384[[#This Row],[jours jusqu''à l''écheance]]-($B$4-$B$11-1)&gt;0,Tableau3384[[#This Row],[Montant
CHF]],""),"")</f>
        <v/>
      </c>
      <c r="S631" s="142"/>
      <c r="T631" s="168" t="str">
        <f>IF(Tableau3384[[#This Row],[Paiements prevus]]="oui",Tableau3384[[#This Row],[Montant prevu à payer CH]],"")</f>
        <v/>
      </c>
      <c r="U631" s="177"/>
      <c r="V631" s="192" t="s">
        <v>735</v>
      </c>
      <c r="W631" s="190"/>
      <c r="X631" s="187">
        <v>45595</v>
      </c>
      <c r="Y631" s="181" t="s">
        <v>58</v>
      </c>
      <c r="Z631" s="379" t="str">
        <f>IF(Tableau3384[[#This Row],[Méthode du paiement]]="Mastercard","OUI","")</f>
        <v/>
      </c>
      <c r="AA631" s="180" t="s">
        <v>30</v>
      </c>
      <c r="AB631" s="180" t="s">
        <v>1570</v>
      </c>
    </row>
    <row r="632" spans="1:28" s="184" customFormat="1" hidden="1" x14ac:dyDescent="0.25">
      <c r="A632" s="182" t="s">
        <v>1564</v>
      </c>
      <c r="B632" s="185">
        <v>45565</v>
      </c>
      <c r="C632" s="185">
        <v>45565</v>
      </c>
      <c r="D632" s="186" t="s">
        <v>25</v>
      </c>
      <c r="E632" s="183">
        <v>40</v>
      </c>
      <c r="F632" s="195">
        <v>0</v>
      </c>
      <c r="G632" s="193"/>
      <c r="H632" s="136">
        <f>Tableau3384[[#This Row],[Montant
CHF]]+Tableau3384[[#This Row],[Abzug/Spesen
CHF]]</f>
        <v>40</v>
      </c>
      <c r="I632" s="188"/>
      <c r="J632" s="189"/>
      <c r="K632" s="189"/>
      <c r="L632" s="298"/>
      <c r="M632" s="194"/>
      <c r="N632" s="185">
        <v>45585</v>
      </c>
      <c r="O632" s="282" t="str">
        <f>IF(Tableau3384[[#This Row],[Date du paiement]]&gt;0,"",Tableau3384[[#This Row],[Montant
CHF]])</f>
        <v/>
      </c>
      <c r="P632" s="287" t="str">
        <f>IF(Tableau3384[[#This Row],[Date du paiement]]="",$B$4-Tableau3384[[#This Row],[Écheance]],"")</f>
        <v/>
      </c>
      <c r="Q632" s="168" t="str">
        <f>IF(Tableau3384[[#This Row],[Date du paiement]]="",IF(Tableau3384[[#This Row],[jours jusqu''à l''écheance]]&gt;0,Tableau3384[[#This Row],[Montant
CHF]],""),"")</f>
        <v/>
      </c>
      <c r="R632" s="298" t="str">
        <f>IF(Tableau3384[[#This Row],[Date du paiement]]="",IF(Tableau3384[[#This Row],[jours jusqu''à l''écheance]]-($B$4-$B$11-1)&gt;0,Tableau3384[[#This Row],[Montant
CHF]],""),"")</f>
        <v/>
      </c>
      <c r="S632" s="142"/>
      <c r="T632" s="168" t="str">
        <f>IF(Tableau3384[[#This Row],[Paiements prevus]]="oui",Tableau3384[[#This Row],[Montant prevu à payer CH]],"")</f>
        <v/>
      </c>
      <c r="U632" s="177"/>
      <c r="V632" s="192" t="s">
        <v>738</v>
      </c>
      <c r="W632" s="190"/>
      <c r="X632" s="187">
        <v>45595</v>
      </c>
      <c r="Y632" s="181" t="s">
        <v>58</v>
      </c>
      <c r="Z632" s="379" t="str">
        <f>IF(Tableau3384[[#This Row],[Méthode du paiement]]="Mastercard","OUI","")</f>
        <v/>
      </c>
      <c r="AA632" s="180" t="s">
        <v>26</v>
      </c>
      <c r="AB632" s="180" t="s">
        <v>1566</v>
      </c>
    </row>
    <row r="633" spans="1:28" s="184" customFormat="1" hidden="1" x14ac:dyDescent="0.25">
      <c r="A633" s="182" t="s">
        <v>1571</v>
      </c>
      <c r="B633" s="185">
        <v>45565</v>
      </c>
      <c r="C633" s="185">
        <v>45565</v>
      </c>
      <c r="D633" s="186" t="s">
        <v>101</v>
      </c>
      <c r="E633" s="183">
        <v>41.32</v>
      </c>
      <c r="F633" s="195">
        <v>8.1</v>
      </c>
      <c r="G633" s="193"/>
      <c r="H633" s="136">
        <f>Tableau3384[[#This Row],[Montant
CHF]]+Tableau3384[[#This Row],[Abzug/Spesen
CHF]]</f>
        <v>41.32</v>
      </c>
      <c r="I633" s="188"/>
      <c r="J633" s="189"/>
      <c r="K633" s="189"/>
      <c r="L633" s="298"/>
      <c r="M633" s="194"/>
      <c r="N633" s="185">
        <v>45595</v>
      </c>
      <c r="O633" s="282" t="str">
        <f>IF(Tableau3384[[#This Row],[Date du paiement]]&gt;0,"",Tableau3384[[#This Row],[Montant
CHF]])</f>
        <v/>
      </c>
      <c r="P633" s="287" t="str">
        <f>IF(Tableau3384[[#This Row],[Date du paiement]]="",$B$4-Tableau3384[[#This Row],[Écheance]],"")</f>
        <v/>
      </c>
      <c r="Q633" s="168" t="str">
        <f>IF(Tableau3384[[#This Row],[Date du paiement]]="",IF(Tableau3384[[#This Row],[jours jusqu''à l''écheance]]&gt;0,Tableau3384[[#This Row],[Montant
CHF]],""),"")</f>
        <v/>
      </c>
      <c r="R633" s="298" t="str">
        <f>IF(Tableau3384[[#This Row],[Date du paiement]]="",IF(Tableau3384[[#This Row],[jours jusqu''à l''écheance]]-($B$4-$B$11-1)&gt;0,Tableau3384[[#This Row],[Montant
CHF]],""),"")</f>
        <v/>
      </c>
      <c r="S633" s="142"/>
      <c r="T633" s="168" t="str">
        <f>IF(Tableau3384[[#This Row],[Paiements prevus]]="oui",Tableau3384[[#This Row],[Montant prevu à payer CH]],"")</f>
        <v/>
      </c>
      <c r="U633" s="177"/>
      <c r="V633" s="192" t="s">
        <v>735</v>
      </c>
      <c r="W633" s="190"/>
      <c r="X633" s="187">
        <v>45595</v>
      </c>
      <c r="Y633" s="181" t="s">
        <v>58</v>
      </c>
      <c r="Z633" s="379" t="str">
        <f>IF(Tableau3384[[#This Row],[Méthode du paiement]]="Mastercard","OUI","")</f>
        <v/>
      </c>
      <c r="AA633" s="180" t="s">
        <v>102</v>
      </c>
      <c r="AB633" s="180" t="s">
        <v>711</v>
      </c>
    </row>
    <row r="634" spans="1:28" s="184" customFormat="1" hidden="1" x14ac:dyDescent="0.25">
      <c r="A634" s="182" t="s">
        <v>717</v>
      </c>
      <c r="B634" s="185">
        <v>45565</v>
      </c>
      <c r="C634" s="185">
        <v>45580</v>
      </c>
      <c r="D634" s="186" t="s">
        <v>186</v>
      </c>
      <c r="E634" s="183">
        <v>17452.2</v>
      </c>
      <c r="F634" s="195">
        <v>100</v>
      </c>
      <c r="G634" s="193"/>
      <c r="H634" s="136">
        <f>Tableau3384[[#This Row],[Montant
CHF]]+Tableau3384[[#This Row],[Abzug/Spesen
CHF]]</f>
        <v>17452.2</v>
      </c>
      <c r="I634" s="188"/>
      <c r="J634" s="189"/>
      <c r="K634" s="189"/>
      <c r="L634" s="298"/>
      <c r="M634" s="194"/>
      <c r="N634" s="185">
        <v>45626</v>
      </c>
      <c r="O634" s="282">
        <f>IF(Tableau3384[[#This Row],[Date du paiement]]&gt;0,"",Tableau3384[[#This Row],[Montant
CHF]])</f>
        <v>17452.2</v>
      </c>
      <c r="P634" s="287">
        <f ca="1">IF(Tableau3384[[#This Row],[Date du paiement]]="",$B$4-Tableau3384[[#This Row],[Écheance]],"")</f>
        <v>-8.5305746527810697</v>
      </c>
      <c r="Q634" s="168" t="str">
        <f ca="1">IF(Tableau3384[[#This Row],[Date du paiement]]="",IF(Tableau3384[[#This Row],[jours jusqu''à l''écheance]]&gt;0,Tableau3384[[#This Row],[Montant
CHF]],""),"")</f>
        <v/>
      </c>
      <c r="R634" s="298" t="str">
        <f ca="1">IF(Tableau3384[[#This Row],[Date du paiement]]="",IF(Tableau3384[[#This Row],[jours jusqu''à l''écheance]]-($B$4-$B$11-1)&gt;0,Tableau3384[[#This Row],[Montant
CHF]],""),"")</f>
        <v/>
      </c>
      <c r="S634" s="142"/>
      <c r="T634" s="168" t="str">
        <f>IF(Tableau3384[[#This Row],[Paiements prevus]]="oui",Tableau3384[[#This Row],[Montant prevu à payer CH]],"")</f>
        <v/>
      </c>
      <c r="U634" s="177"/>
      <c r="V634" s="192" t="s">
        <v>1075</v>
      </c>
      <c r="W634" s="190" t="s">
        <v>1846</v>
      </c>
      <c r="X634" s="187"/>
      <c r="Y634" s="181"/>
      <c r="Z634" s="379" t="str">
        <f>IF(Tableau3384[[#This Row],[Méthode du paiement]]="Mastercard","OUI","")</f>
        <v/>
      </c>
      <c r="AA634" s="451" t="s">
        <v>604</v>
      </c>
      <c r="AB634" s="180" t="s">
        <v>717</v>
      </c>
    </row>
    <row r="635" spans="1:28" s="184" customFormat="1" hidden="1" x14ac:dyDescent="0.25">
      <c r="A635" s="182" t="s">
        <v>1588</v>
      </c>
      <c r="B635" s="185">
        <v>45565</v>
      </c>
      <c r="C635" s="185">
        <v>45568</v>
      </c>
      <c r="D635" s="186" t="s">
        <v>94</v>
      </c>
      <c r="E635" s="183">
        <v>1451.55</v>
      </c>
      <c r="F635" s="195">
        <v>8.1</v>
      </c>
      <c r="G635" s="193"/>
      <c r="H635" s="136">
        <f>Tableau3384[[#This Row],[Montant
CHF]]+Tableau3384[[#This Row],[Abzug/Spesen
CHF]]</f>
        <v>1451.55</v>
      </c>
      <c r="I635" s="188"/>
      <c r="J635" s="189"/>
      <c r="K635" s="189"/>
      <c r="L635" s="298">
        <v>1469.89</v>
      </c>
      <c r="M635" s="194"/>
      <c r="N635" s="185">
        <v>45596</v>
      </c>
      <c r="O635" s="282" t="str">
        <f>IF(Tableau3384[[#This Row],[Date du paiement]]&gt;0,"",Tableau3384[[#This Row],[Montant
CHF]])</f>
        <v/>
      </c>
      <c r="P635" s="287" t="str">
        <f>IF(Tableau3384[[#This Row],[Date du paiement]]="",$B$4-Tableau3384[[#This Row],[Écheance]],"")</f>
        <v/>
      </c>
      <c r="Q635" s="168" t="str">
        <f>IF(Tableau3384[[#This Row],[Date du paiement]]="",IF(Tableau3384[[#This Row],[jours jusqu''à l''écheance]]&gt;0,Tableau3384[[#This Row],[Montant
CHF]],""),"")</f>
        <v/>
      </c>
      <c r="R635" s="298" t="str">
        <f>IF(Tableau3384[[#This Row],[Date du paiement]]="",IF(Tableau3384[[#This Row],[jours jusqu''à l''écheance]]-($B$4-$B$11-1)&gt;0,Tableau3384[[#This Row],[Montant
CHF]],""),"")</f>
        <v/>
      </c>
      <c r="S635" s="142"/>
      <c r="T635" s="168" t="str">
        <f>IF(Tableau3384[[#This Row],[Paiements prevus]]="oui",Tableau3384[[#This Row],[Montant prevu à payer CH]],"")</f>
        <v/>
      </c>
      <c r="U635" s="177"/>
      <c r="V635" s="192" t="s">
        <v>738</v>
      </c>
      <c r="W635" s="190"/>
      <c r="X635" s="187">
        <v>45595</v>
      </c>
      <c r="Y635" s="181" t="s">
        <v>58</v>
      </c>
      <c r="Z635" s="379" t="str">
        <f>IF(Tableau3384[[#This Row],[Méthode du paiement]]="Mastercard","OUI","")</f>
        <v/>
      </c>
      <c r="AA635" s="435" t="s">
        <v>14</v>
      </c>
      <c r="AB635" s="180" t="s">
        <v>1590</v>
      </c>
    </row>
    <row r="636" spans="1:28" s="184" customFormat="1" hidden="1" x14ac:dyDescent="0.25">
      <c r="A636" s="182" t="s">
        <v>1589</v>
      </c>
      <c r="B636" s="185">
        <v>45565</v>
      </c>
      <c r="C636" s="185">
        <v>45568</v>
      </c>
      <c r="D636" s="186" t="s">
        <v>94</v>
      </c>
      <c r="E636" s="183">
        <f>1469.89-1451.55</f>
        <v>18.340000000000146</v>
      </c>
      <c r="F636" s="195">
        <v>8.1</v>
      </c>
      <c r="G636" s="193"/>
      <c r="H636" s="136">
        <f>Tableau3384[[#This Row],[Montant
CHF]]+Tableau3384[[#This Row],[Abzug/Spesen
CHF]]</f>
        <v>18.340000000000146</v>
      </c>
      <c r="I636" s="188"/>
      <c r="J636" s="189"/>
      <c r="K636" s="189"/>
      <c r="L636" s="298">
        <v>1469.89</v>
      </c>
      <c r="M636" s="194"/>
      <c r="N636" s="185">
        <v>45596</v>
      </c>
      <c r="O636" s="282" t="str">
        <f>IF(Tableau3384[[#This Row],[Date du paiement]]&gt;0,"",Tableau3384[[#This Row],[Montant
CHF]])</f>
        <v/>
      </c>
      <c r="P636" s="287" t="str">
        <f>IF(Tableau3384[[#This Row],[Date du paiement]]="",$B$4-Tableau3384[[#This Row],[Écheance]],"")</f>
        <v/>
      </c>
      <c r="Q636" s="168" t="str">
        <f>IF(Tableau3384[[#This Row],[Date du paiement]]="",IF(Tableau3384[[#This Row],[jours jusqu''à l''écheance]]&gt;0,Tableau3384[[#This Row],[Montant
CHF]],""),"")</f>
        <v/>
      </c>
      <c r="R636" s="298" t="str">
        <f>IF(Tableau3384[[#This Row],[Date du paiement]]="",IF(Tableau3384[[#This Row],[jours jusqu''à l''écheance]]-($B$4-$B$11-1)&gt;0,Tableau3384[[#This Row],[Montant
CHF]],""),"")</f>
        <v/>
      </c>
      <c r="S636" s="142"/>
      <c r="T636" s="168" t="str">
        <f>IF(Tableau3384[[#This Row],[Paiements prevus]]="oui",Tableau3384[[#This Row],[Montant prevu à payer CH]],"")</f>
        <v/>
      </c>
      <c r="U636" s="177"/>
      <c r="V636" s="192" t="s">
        <v>735</v>
      </c>
      <c r="W636" s="190"/>
      <c r="X636" s="187">
        <v>45595</v>
      </c>
      <c r="Y636" s="181" t="s">
        <v>58</v>
      </c>
      <c r="Z636" s="379" t="str">
        <f>IF(Tableau3384[[#This Row],[Méthode du paiement]]="Mastercard","OUI","")</f>
        <v/>
      </c>
      <c r="AA636" s="180" t="s">
        <v>102</v>
      </c>
      <c r="AB636" s="180" t="s">
        <v>102</v>
      </c>
    </row>
    <row r="637" spans="1:28" s="184" customFormat="1" hidden="1" x14ac:dyDescent="0.25">
      <c r="A637" s="182" t="s">
        <v>1567</v>
      </c>
      <c r="B637" s="185">
        <v>45565</v>
      </c>
      <c r="C637" s="185">
        <v>45566</v>
      </c>
      <c r="D637" s="186" t="s">
        <v>362</v>
      </c>
      <c r="E637" s="183">
        <v>3100.5</v>
      </c>
      <c r="F637" s="195">
        <v>8.1</v>
      </c>
      <c r="G637" s="193"/>
      <c r="H637" s="136">
        <f>Tableau3384[[#This Row],[Montant
CHF]]+Tableau3384[[#This Row],[Abzug/Spesen
CHF]]</f>
        <v>3100.5</v>
      </c>
      <c r="I637" s="188"/>
      <c r="J637" s="189"/>
      <c r="K637" s="189"/>
      <c r="L637" s="298"/>
      <c r="M637" s="194" t="s">
        <v>1568</v>
      </c>
      <c r="N637" s="185">
        <v>45595</v>
      </c>
      <c r="O637" s="282" t="str">
        <f>IF(Tableau3384[[#This Row],[Date du paiement]]&gt;0,"",Tableau3384[[#This Row],[Montant
CHF]])</f>
        <v/>
      </c>
      <c r="P637" s="287" t="str">
        <f>IF(Tableau3384[[#This Row],[Date du paiement]]="",$B$4-Tableau3384[[#This Row],[Écheance]],"")</f>
        <v/>
      </c>
      <c r="Q637" s="168" t="str">
        <f>IF(Tableau3384[[#This Row],[Date du paiement]]="",IF(Tableau3384[[#This Row],[jours jusqu''à l''écheance]]&gt;0,Tableau3384[[#This Row],[Montant
CHF]],""),"")</f>
        <v/>
      </c>
      <c r="R637" s="298" t="str">
        <f>IF(Tableau3384[[#This Row],[Date du paiement]]="",IF(Tableau3384[[#This Row],[jours jusqu''à l''écheance]]-($B$4-$B$11-1)&gt;0,Tableau3384[[#This Row],[Montant
CHF]],""),"")</f>
        <v/>
      </c>
      <c r="S637" s="142"/>
      <c r="T637" s="168" t="str">
        <f>IF(Tableau3384[[#This Row],[Paiements prevus]]="oui",Tableau3384[[#This Row],[Montant prevu à payer CH]],"")</f>
        <v/>
      </c>
      <c r="U637" s="177"/>
      <c r="V637" s="192" t="s">
        <v>735</v>
      </c>
      <c r="W637" s="190"/>
      <c r="X637" s="187">
        <v>45595</v>
      </c>
      <c r="Y637" s="181" t="s">
        <v>58</v>
      </c>
      <c r="Z637" s="379" t="str">
        <f>IF(Tableau3384[[#This Row],[Méthode du paiement]]="Mastercard","OUI","")</f>
        <v/>
      </c>
      <c r="AA637" s="180" t="s">
        <v>4</v>
      </c>
      <c r="AB637" s="180" t="s">
        <v>711</v>
      </c>
    </row>
    <row r="638" spans="1:28" s="184" customFormat="1" hidden="1" x14ac:dyDescent="0.25">
      <c r="A638" s="182" t="s">
        <v>1605</v>
      </c>
      <c r="B638" s="185">
        <v>45565</v>
      </c>
      <c r="C638" s="185">
        <v>45569</v>
      </c>
      <c r="D638" s="186" t="s">
        <v>452</v>
      </c>
      <c r="E638" s="183">
        <v>228</v>
      </c>
      <c r="F638" s="195">
        <v>8.1</v>
      </c>
      <c r="G638" s="193"/>
      <c r="H638" s="136">
        <f>Tableau3384[[#This Row],[Montant
CHF]]+Tableau3384[[#This Row],[Abzug/Spesen
CHF]]</f>
        <v>228</v>
      </c>
      <c r="I638" s="188"/>
      <c r="J638" s="189"/>
      <c r="K638" s="189"/>
      <c r="L638" s="298"/>
      <c r="M638" s="194"/>
      <c r="N638" s="185">
        <v>45595</v>
      </c>
      <c r="O638" s="282" t="str">
        <f>IF(Tableau3384[[#This Row],[Date du paiement]]&gt;0,"",Tableau3384[[#This Row],[Montant
CHF]])</f>
        <v/>
      </c>
      <c r="P638" s="287" t="str">
        <f>IF(Tableau3384[[#This Row],[Date du paiement]]="",$B$4-Tableau3384[[#This Row],[Écheance]],"")</f>
        <v/>
      </c>
      <c r="Q638" s="168" t="str">
        <f>IF(Tableau3384[[#This Row],[Date du paiement]]="",IF(Tableau3384[[#This Row],[jours jusqu''à l''écheance]]&gt;0,Tableau3384[[#This Row],[Montant
CHF]],""),"")</f>
        <v/>
      </c>
      <c r="R638" s="298" t="str">
        <f>IF(Tableau3384[[#This Row],[Date du paiement]]="",IF(Tableau3384[[#This Row],[jours jusqu''à l''écheance]]-($B$4-$B$11-1)&gt;0,Tableau3384[[#This Row],[Montant
CHF]],""),"")</f>
        <v/>
      </c>
      <c r="S638" s="142"/>
      <c r="T638" s="168" t="str">
        <f>IF(Tableau3384[[#This Row],[Paiements prevus]]="oui",Tableau3384[[#This Row],[Montant prevu à payer CH]],"")</f>
        <v/>
      </c>
      <c r="U638" s="177"/>
      <c r="V638" s="192" t="s">
        <v>738</v>
      </c>
      <c r="W638" s="190"/>
      <c r="X638" s="187">
        <v>45595</v>
      </c>
      <c r="Y638" s="181" t="s">
        <v>58</v>
      </c>
      <c r="Z638" s="379" t="str">
        <f>IF(Tableau3384[[#This Row],[Méthode du paiement]]="Mastercard","OUI","")</f>
        <v/>
      </c>
      <c r="AA638" s="180" t="s">
        <v>294</v>
      </c>
      <c r="AB638" s="180" t="s">
        <v>1606</v>
      </c>
    </row>
    <row r="639" spans="1:28" s="184" customFormat="1" hidden="1" x14ac:dyDescent="0.25">
      <c r="A639" s="182" t="s">
        <v>1631</v>
      </c>
      <c r="B639" s="185">
        <v>45565</v>
      </c>
      <c r="C639" s="185">
        <v>45575</v>
      </c>
      <c r="D639" s="186" t="s">
        <v>162</v>
      </c>
      <c r="E639" s="183">
        <v>12.55</v>
      </c>
      <c r="F639" s="195">
        <v>8.1</v>
      </c>
      <c r="G639" s="193"/>
      <c r="H639" s="136">
        <f>Tableau3384[[#This Row],[Montant
CHF]]+Tableau3384[[#This Row],[Abzug/Spesen
CHF]]</f>
        <v>12.55</v>
      </c>
      <c r="I639" s="188"/>
      <c r="J639" s="189"/>
      <c r="K639" s="189"/>
      <c r="L639" s="298"/>
      <c r="M639" s="194"/>
      <c r="N639" s="185">
        <v>45595</v>
      </c>
      <c r="O639" s="282" t="str">
        <f>IF(Tableau3384[[#This Row],[Date du paiement]]&gt;0,"",Tableau3384[[#This Row],[Montant
CHF]])</f>
        <v/>
      </c>
      <c r="P639" s="287" t="str">
        <f>IF(Tableau3384[[#This Row],[Date du paiement]]="",$B$4-Tableau3384[[#This Row],[Écheance]],"")</f>
        <v/>
      </c>
      <c r="Q639" s="168" t="str">
        <f>IF(Tableau3384[[#This Row],[Date du paiement]]="",IF(Tableau3384[[#This Row],[jours jusqu''à l''écheance]]&gt;0,Tableau3384[[#This Row],[Montant
CHF]],""),"")</f>
        <v/>
      </c>
      <c r="R639" s="298" t="str">
        <f>IF(Tableau3384[[#This Row],[Date du paiement]]="",IF(Tableau3384[[#This Row],[jours jusqu''à l''écheance]]-($B$4-$B$11-1)&gt;0,Tableau3384[[#This Row],[Montant
CHF]],""),"")</f>
        <v/>
      </c>
      <c r="S639" s="142"/>
      <c r="T639" s="168" t="str">
        <f>IF(Tableau3384[[#This Row],[Paiements prevus]]="oui",Tableau3384[[#This Row],[Montant prevu à payer CH]],"")</f>
        <v/>
      </c>
      <c r="U639" s="177"/>
      <c r="V639" s="192" t="s">
        <v>735</v>
      </c>
      <c r="W639" s="190"/>
      <c r="X639" s="187">
        <v>45595</v>
      </c>
      <c r="Y639" s="181" t="s">
        <v>58</v>
      </c>
      <c r="Z639" s="379" t="str">
        <f>IF(Tableau3384[[#This Row],[Méthode du paiement]]="Mastercard","OUI","")</f>
        <v/>
      </c>
      <c r="AA639" s="180" t="s">
        <v>43</v>
      </c>
      <c r="AB639" s="180" t="s">
        <v>711</v>
      </c>
    </row>
    <row r="640" spans="1:28" s="184" customFormat="1" hidden="1" x14ac:dyDescent="0.25">
      <c r="A640" s="182" t="s">
        <v>1600</v>
      </c>
      <c r="B640" s="185">
        <v>45565</v>
      </c>
      <c r="C640" s="185">
        <v>45565</v>
      </c>
      <c r="D640" s="186" t="s">
        <v>120</v>
      </c>
      <c r="E640" s="183">
        <v>600</v>
      </c>
      <c r="F640" s="195">
        <v>0</v>
      </c>
      <c r="G640" s="193"/>
      <c r="H640" s="136">
        <f>Tableau3384[[#This Row],[Montant
CHF]]+Tableau3384[[#This Row],[Abzug/Spesen
CHF]]</f>
        <v>600</v>
      </c>
      <c r="I640" s="188"/>
      <c r="J640" s="189"/>
      <c r="K640" s="189"/>
      <c r="L640" s="298"/>
      <c r="M640" s="194"/>
      <c r="N640" s="185">
        <v>45595</v>
      </c>
      <c r="O640" s="282" t="str">
        <f>IF(Tableau3384[[#This Row],[Date du paiement]]&gt;0,"",Tableau3384[[#This Row],[Montant
CHF]])</f>
        <v/>
      </c>
      <c r="P640" s="287" t="str">
        <f>IF(Tableau3384[[#This Row],[Date du paiement]]="",$B$4-Tableau3384[[#This Row],[Écheance]],"")</f>
        <v/>
      </c>
      <c r="Q640" s="168" t="str">
        <f>IF(Tableau3384[[#This Row],[Date du paiement]]="",IF(Tableau3384[[#This Row],[jours jusqu''à l''écheance]]&gt;0,Tableau3384[[#This Row],[Montant
CHF]],""),"")</f>
        <v/>
      </c>
      <c r="R640" s="298" t="str">
        <f>IF(Tableau3384[[#This Row],[Date du paiement]]="",IF(Tableau3384[[#This Row],[jours jusqu''à l''écheance]]-($B$4-$B$11-1)&gt;0,Tableau3384[[#This Row],[Montant
CHF]],""),"")</f>
        <v/>
      </c>
      <c r="S640" s="142"/>
      <c r="T640" s="168" t="str">
        <f>IF(Tableau3384[[#This Row],[Paiements prevus]]="oui",Tableau3384[[#This Row],[Montant prevu à payer CH]],"")</f>
        <v/>
      </c>
      <c r="U640" s="177"/>
      <c r="V640" s="192" t="s">
        <v>735</v>
      </c>
      <c r="W640" s="190"/>
      <c r="X640" s="187">
        <v>45595</v>
      </c>
      <c r="Y640" s="181" t="s">
        <v>58</v>
      </c>
      <c r="Z640" s="379" t="str">
        <f>IF(Tableau3384[[#This Row],[Méthode du paiement]]="Mastercard","OUI","")</f>
        <v/>
      </c>
      <c r="AA640" s="180" t="s">
        <v>43</v>
      </c>
      <c r="AB640" s="180" t="s">
        <v>711</v>
      </c>
    </row>
    <row r="641" spans="1:28" s="184" customFormat="1" hidden="1" x14ac:dyDescent="0.25">
      <c r="A641" s="182" t="s">
        <v>1594</v>
      </c>
      <c r="B641" s="185">
        <v>45565</v>
      </c>
      <c r="C641" s="185">
        <v>45568</v>
      </c>
      <c r="D641" s="186" t="s">
        <v>1059</v>
      </c>
      <c r="E641" s="183">
        <v>595.04999999999995</v>
      </c>
      <c r="F641" s="195">
        <v>2.6</v>
      </c>
      <c r="G641" s="193"/>
      <c r="H641" s="136">
        <f>Tableau3384[[#This Row],[Montant
CHF]]+Tableau3384[[#This Row],[Abzug/Spesen
CHF]]</f>
        <v>595.04999999999995</v>
      </c>
      <c r="I641" s="188"/>
      <c r="J641" s="189"/>
      <c r="K641" s="189"/>
      <c r="L641" s="298"/>
      <c r="M641" s="194"/>
      <c r="N641" s="185">
        <v>45595</v>
      </c>
      <c r="O641" s="282" t="str">
        <f>IF(Tableau3384[[#This Row],[Date du paiement]]&gt;0,"",Tableau3384[[#This Row],[Montant
CHF]])</f>
        <v/>
      </c>
      <c r="P641" s="287" t="str">
        <f>IF(Tableau3384[[#This Row],[Date du paiement]]="",$B$4-Tableau3384[[#This Row],[Écheance]],"")</f>
        <v/>
      </c>
      <c r="Q641" s="168" t="str">
        <f>IF(Tableau3384[[#This Row],[Date du paiement]]="",IF(Tableau3384[[#This Row],[jours jusqu''à l''écheance]]&gt;0,Tableau3384[[#This Row],[Montant
CHF]],""),"")</f>
        <v/>
      </c>
      <c r="R641" s="298" t="str">
        <f>IF(Tableau3384[[#This Row],[Date du paiement]]="",IF(Tableau3384[[#This Row],[jours jusqu''à l''écheance]]-($B$4-$B$11-1)&gt;0,Tableau3384[[#This Row],[Montant
CHF]],""),"")</f>
        <v/>
      </c>
      <c r="S641" s="142"/>
      <c r="T641" s="168" t="str">
        <f>IF(Tableau3384[[#This Row],[Paiements prevus]]="oui",Tableau3384[[#This Row],[Montant prevu à payer CH]],"")</f>
        <v/>
      </c>
      <c r="U641" s="177"/>
      <c r="V641" s="192" t="s">
        <v>735</v>
      </c>
      <c r="W641" s="190"/>
      <c r="X641" s="187">
        <v>45595</v>
      </c>
      <c r="Y641" s="181" t="s">
        <v>58</v>
      </c>
      <c r="Z641" s="379" t="str">
        <f>IF(Tableau3384[[#This Row],[Méthode du paiement]]="Mastercard","OUI","")</f>
        <v/>
      </c>
      <c r="AA641" s="180" t="s">
        <v>102</v>
      </c>
      <c r="AB641" s="180" t="s">
        <v>1595</v>
      </c>
    </row>
    <row r="642" spans="1:28" s="184" customFormat="1" hidden="1" x14ac:dyDescent="0.25">
      <c r="A642" s="182" t="s">
        <v>1670</v>
      </c>
      <c r="B642" s="185">
        <v>45565</v>
      </c>
      <c r="C642" s="185">
        <v>45586</v>
      </c>
      <c r="D642" s="186" t="s">
        <v>245</v>
      </c>
      <c r="E642" s="183">
        <f>Tableau3384[[#This Row],[Montant
EUR]]*Tableau3384[[#This Row],[Taux 
de change]]</f>
        <v>516.18008009999994</v>
      </c>
      <c r="F642" s="195">
        <v>0</v>
      </c>
      <c r="G642" s="193"/>
      <c r="H642" s="136">
        <f>Tableau3384[[#This Row],[Montant
CHF]]+Tableau3384[[#This Row],[Abzug/Spesen
CHF]]</f>
        <v>516.18008009999994</v>
      </c>
      <c r="I642" s="188">
        <v>0.94382900000000003</v>
      </c>
      <c r="J642" s="189">
        <v>546.9</v>
      </c>
      <c r="K642" s="189"/>
      <c r="L642" s="298"/>
      <c r="M642" s="194" t="s">
        <v>1671</v>
      </c>
      <c r="N642" s="185">
        <v>45595</v>
      </c>
      <c r="O642" s="282" t="str">
        <f>IF(Tableau3384[[#This Row],[Date du paiement]]&gt;0,"",Tableau3384[[#This Row],[Montant
CHF]])</f>
        <v/>
      </c>
      <c r="P642" s="287" t="str">
        <f>IF(Tableau3384[[#This Row],[Date du paiement]]="",$B$4-Tableau3384[[#This Row],[Écheance]],"")</f>
        <v/>
      </c>
      <c r="Q642" s="168" t="str">
        <f>IF(Tableau3384[[#This Row],[Date du paiement]]="",IF(Tableau3384[[#This Row],[jours jusqu''à l''écheance]]&gt;0,Tableau3384[[#This Row],[Montant
CHF]],""),"")</f>
        <v/>
      </c>
      <c r="R642" s="298" t="str">
        <f>IF(Tableau3384[[#This Row],[Date du paiement]]="",IF(Tableau3384[[#This Row],[jours jusqu''à l''écheance]]-($B$4-$B$11-1)&gt;0,Tableau3384[[#This Row],[Montant
CHF]],""),"")</f>
        <v/>
      </c>
      <c r="S642" s="142"/>
      <c r="T642" s="168" t="str">
        <f>IF(Tableau3384[[#This Row],[Paiements prevus]]="oui",Tableau3384[[#This Row],[Montant prevu à payer CH]],"")</f>
        <v/>
      </c>
      <c r="U642" s="177"/>
      <c r="V642" s="192" t="s">
        <v>737</v>
      </c>
      <c r="W642" s="190"/>
      <c r="X642" s="187">
        <v>45601</v>
      </c>
      <c r="Y642" s="181" t="s">
        <v>58</v>
      </c>
      <c r="Z642" s="379" t="str">
        <f>IF(Tableau3384[[#This Row],[Méthode du paiement]]="Mastercard","OUI","")</f>
        <v/>
      </c>
      <c r="AA642" s="180" t="s">
        <v>11</v>
      </c>
      <c r="AB642" s="180" t="s">
        <v>1672</v>
      </c>
    </row>
    <row r="643" spans="1:28" s="184" customFormat="1" hidden="1" x14ac:dyDescent="0.25">
      <c r="A643" s="182" t="s">
        <v>632</v>
      </c>
      <c r="B643" s="185">
        <v>45566</v>
      </c>
      <c r="C643" s="185">
        <v>45292</v>
      </c>
      <c r="D643" s="186" t="s">
        <v>3</v>
      </c>
      <c r="E643" s="183">
        <v>3438</v>
      </c>
      <c r="F643" s="195">
        <v>0</v>
      </c>
      <c r="G643" s="193"/>
      <c r="H643" s="136">
        <f>Tableau3384[[#This Row],[Montant
CHF]]+Tableau3384[[#This Row],[Abzug/Spesen
CHF]]</f>
        <v>3438</v>
      </c>
      <c r="I643" s="188"/>
      <c r="J643" s="189"/>
      <c r="K643" s="189"/>
      <c r="L643" s="298"/>
      <c r="M643" s="194"/>
      <c r="N643" s="185">
        <v>45566</v>
      </c>
      <c r="O643" s="282" t="str">
        <f>IF(Tableau3384[[#This Row],[Date du paiement]]&gt;0,"",Tableau3384[[#This Row],[Montant
CHF]])</f>
        <v/>
      </c>
      <c r="P643" s="276" t="str">
        <f>IF(Tableau3384[[#This Row],[Date du paiement]]="",$B$4-Tableau3384[[#This Row],[Écheance]],"")</f>
        <v/>
      </c>
      <c r="Q643" s="168" t="str">
        <f>IF(Tableau3384[[#This Row],[Date du paiement]]="",IF(Tableau3384[[#This Row],[jours jusqu''à l''écheance]]&gt;0,Tableau3384[[#This Row],[Montant
CHF]],""),"")</f>
        <v/>
      </c>
      <c r="R643" s="298" t="str">
        <f>IF(Tableau3384[[#This Row],[Date du paiement]]="",IF(Tableau3384[[#This Row],[jours jusqu''à l''écheance]]-($B$4-$B$11-1)&gt;0,Tableau3384[[#This Row],[Montant
CHF]],""),"")</f>
        <v/>
      </c>
      <c r="S643" s="142"/>
      <c r="T643" s="168" t="str">
        <f>IF(Tableau3384[[#This Row],[Paiements prevus]]="oui",Tableau3384[[#This Row],[Montant prevu à payer CH]],"")</f>
        <v/>
      </c>
      <c r="U643" s="177"/>
      <c r="V643" s="192" t="s">
        <v>735</v>
      </c>
      <c r="W643" s="190"/>
      <c r="X643" s="187">
        <v>45567</v>
      </c>
      <c r="Y643" s="181" t="s">
        <v>58</v>
      </c>
      <c r="Z643" s="120" t="str">
        <f>IF(Tableau3384[[#This Row],[Méthode du paiement]]="Mastercard","OUI","")</f>
        <v/>
      </c>
      <c r="AA643" s="180" t="s">
        <v>6</v>
      </c>
      <c r="AB643" s="180" t="s">
        <v>712</v>
      </c>
    </row>
    <row r="644" spans="1:28" s="184" customFormat="1" hidden="1" x14ac:dyDescent="0.25">
      <c r="A644" s="182">
        <v>214112</v>
      </c>
      <c r="B644" s="185">
        <v>45566</v>
      </c>
      <c r="C644" s="185">
        <v>45425</v>
      </c>
      <c r="D644" s="186" t="s">
        <v>7</v>
      </c>
      <c r="E644" s="183">
        <v>11585</v>
      </c>
      <c r="F644" s="195">
        <v>0</v>
      </c>
      <c r="G644" s="193"/>
      <c r="H644" s="136">
        <f>Tableau3384[[#This Row],[Montant
CHF]]+Tableau3384[[#This Row],[Abzug/Spesen
CHF]]</f>
        <v>11585</v>
      </c>
      <c r="I644" s="188"/>
      <c r="J644" s="189"/>
      <c r="K644" s="189"/>
      <c r="L644" s="298"/>
      <c r="M644" s="194"/>
      <c r="N644" s="185">
        <v>45566</v>
      </c>
      <c r="O644" s="282" t="str">
        <f>IF(Tableau3384[[#This Row],[Date du paiement]]&gt;0,"",Tableau3384[[#This Row],[Montant
CHF]])</f>
        <v/>
      </c>
      <c r="P644" s="276" t="str">
        <f>IF(Tableau3384[[#This Row],[Date du paiement]]="",$B$4-Tableau3384[[#This Row],[Écheance]],"")</f>
        <v/>
      </c>
      <c r="Q644" s="168" t="str">
        <f>IF(Tableau3384[[#This Row],[Date du paiement]]="",IF(Tableau3384[[#This Row],[jours jusqu''à l''écheance]]&gt;0,Tableau3384[[#This Row],[Montant
CHF]],""),"")</f>
        <v/>
      </c>
      <c r="R644" s="298" t="str">
        <f>IF(Tableau3384[[#This Row],[Date du paiement]]="",IF(Tableau3384[[#This Row],[jours jusqu''à l''écheance]]-($B$4-$B$11-1)&gt;0,Tableau3384[[#This Row],[Montant
CHF]],""),"")</f>
        <v/>
      </c>
      <c r="S644" s="142"/>
      <c r="T644" s="168" t="str">
        <f>IF(Tableau3384[[#This Row],[Paiements prevus]]="oui",Tableau3384[[#This Row],[Montant prevu à payer CH]],"")</f>
        <v/>
      </c>
      <c r="U644" s="177"/>
      <c r="V644" s="192" t="s">
        <v>735</v>
      </c>
      <c r="W644" s="190"/>
      <c r="X644" s="187">
        <v>45567</v>
      </c>
      <c r="Y644" s="181" t="s">
        <v>58</v>
      </c>
      <c r="Z644" s="120" t="str">
        <f>IF(Tableau3384[[#This Row],[Méthode du paiement]]="Mastercard","OUI","")</f>
        <v/>
      </c>
      <c r="AA644" s="180" t="s">
        <v>6</v>
      </c>
      <c r="AB644" s="180" t="s">
        <v>712</v>
      </c>
    </row>
    <row r="645" spans="1:28" s="184" customFormat="1" hidden="1" x14ac:dyDescent="0.25">
      <c r="A645" s="182">
        <v>1245742</v>
      </c>
      <c r="B645" s="185">
        <v>45566</v>
      </c>
      <c r="C645" s="185">
        <v>45292</v>
      </c>
      <c r="D645" s="186" t="s">
        <v>2</v>
      </c>
      <c r="E645" s="183">
        <v>1523.55</v>
      </c>
      <c r="F645" s="195">
        <v>8.1</v>
      </c>
      <c r="G645" s="193"/>
      <c r="H645" s="136">
        <f>Tableau3384[[#This Row],[Montant
CHF]]+Tableau3384[[#This Row],[Abzug/Spesen
CHF]]</f>
        <v>1523.55</v>
      </c>
      <c r="I645" s="188"/>
      <c r="J645" s="189"/>
      <c r="K645" s="189"/>
      <c r="L645" s="298"/>
      <c r="M645" s="194"/>
      <c r="N645" s="185">
        <v>45566</v>
      </c>
      <c r="O645" s="282" t="str">
        <f>IF(Tableau3384[[#This Row],[Date du paiement]]&gt;0,"",Tableau3384[[#This Row],[Montant
CHF]])</f>
        <v/>
      </c>
      <c r="P645" s="276" t="str">
        <f>IF(Tableau3384[[#This Row],[Date du paiement]]="",$B$4-Tableau3384[[#This Row],[Écheance]],"")</f>
        <v/>
      </c>
      <c r="Q645" s="168" t="str">
        <f>IF(Tableau3384[[#This Row],[Date du paiement]]="",IF(Tableau3384[[#This Row],[jours jusqu''à l''écheance]]&gt;0,Tableau3384[[#This Row],[Montant
CHF]],""),"")</f>
        <v/>
      </c>
      <c r="R645" s="298" t="str">
        <f>IF(Tableau3384[[#This Row],[Date du paiement]]="",IF(Tableau3384[[#This Row],[jours jusqu''à l''écheance]]-($B$4-$B$11-1)&gt;0,Tableau3384[[#This Row],[Montant
CHF]],""),"")</f>
        <v/>
      </c>
      <c r="S645" s="142"/>
      <c r="T645" s="168" t="str">
        <f>IF(Tableau3384[[#This Row],[Paiements prevus]]="oui",Tableau3384[[#This Row],[Montant prevu à payer CH]],"")</f>
        <v/>
      </c>
      <c r="U645" s="177"/>
      <c r="V645" s="192" t="s">
        <v>735</v>
      </c>
      <c r="W645" s="190"/>
      <c r="X645" s="187">
        <v>45569</v>
      </c>
      <c r="Y645" s="181" t="s">
        <v>58</v>
      </c>
      <c r="Z645" s="120" t="str">
        <f>IF(Tableau3384[[#This Row],[Méthode du paiement]]="Mastercard","OUI","")</f>
        <v/>
      </c>
      <c r="AA645" s="180" t="s">
        <v>1162</v>
      </c>
      <c r="AB645" s="180" t="s">
        <v>712</v>
      </c>
    </row>
    <row r="646" spans="1:28" s="184" customFormat="1" hidden="1" x14ac:dyDescent="0.25">
      <c r="A646" s="182" t="s">
        <v>1638</v>
      </c>
      <c r="B646" s="185">
        <v>45566</v>
      </c>
      <c r="C646" s="185">
        <v>45575</v>
      </c>
      <c r="D646" s="182" t="s">
        <v>1639</v>
      </c>
      <c r="E646" s="183">
        <v>300</v>
      </c>
      <c r="F646" s="195">
        <v>8.1</v>
      </c>
      <c r="G646" s="193"/>
      <c r="H646" s="136">
        <f>Tableau3384[[#This Row],[Montant
CHF]]+Tableau3384[[#This Row],[Abzug/Spesen
CHF]]</f>
        <v>300</v>
      </c>
      <c r="I646" s="188"/>
      <c r="J646" s="189"/>
      <c r="K646" s="189"/>
      <c r="L646" s="298"/>
      <c r="M646" s="194"/>
      <c r="N646" s="185">
        <v>45597</v>
      </c>
      <c r="O646" s="282" t="str">
        <f>IF(Tableau3384[[#This Row],[Date du paiement]]&gt;0,"",Tableau3384[[#This Row],[Montant
CHF]])</f>
        <v/>
      </c>
      <c r="P646" s="287" t="str">
        <f>IF(Tableau3384[[#This Row],[Date du paiement]]="",$B$4-Tableau3384[[#This Row],[Écheance]],"")</f>
        <v/>
      </c>
      <c r="Q646" s="168" t="str">
        <f>IF(Tableau3384[[#This Row],[Date du paiement]]="",IF(Tableau3384[[#This Row],[jours jusqu''à l''écheance]]&gt;0,Tableau3384[[#This Row],[Montant
CHF]],""),"")</f>
        <v/>
      </c>
      <c r="R646" s="298" t="str">
        <f>IF(Tableau3384[[#This Row],[Date du paiement]]="",IF(Tableau3384[[#This Row],[jours jusqu''à l''écheance]]-($B$4-$B$11-1)&gt;0,Tableau3384[[#This Row],[Montant
CHF]],""),"")</f>
        <v/>
      </c>
      <c r="S646" s="142"/>
      <c r="T646" s="168" t="str">
        <f>IF(Tableau3384[[#This Row],[Paiements prevus]]="oui",Tableau3384[[#This Row],[Montant prevu à payer CH]],"")</f>
        <v/>
      </c>
      <c r="U646" s="177"/>
      <c r="V646" s="192" t="s">
        <v>735</v>
      </c>
      <c r="W646" s="190"/>
      <c r="X646" s="187">
        <v>45596</v>
      </c>
      <c r="Y646" s="181" t="s">
        <v>58</v>
      </c>
      <c r="Z646" s="379" t="str">
        <f>IF(Tableau3384[[#This Row],[Méthode du paiement]]="Mastercard","OUI","")</f>
        <v/>
      </c>
      <c r="AA646" s="180" t="s">
        <v>1431</v>
      </c>
      <c r="AB646" s="180" t="s">
        <v>1640</v>
      </c>
    </row>
    <row r="647" spans="1:28" s="184" customFormat="1" hidden="1" x14ac:dyDescent="0.25">
      <c r="A647" s="182" t="s">
        <v>1584</v>
      </c>
      <c r="B647" s="185">
        <v>45566</v>
      </c>
      <c r="C647" s="185">
        <v>45567</v>
      </c>
      <c r="D647" s="186" t="s">
        <v>46</v>
      </c>
      <c r="E647" s="183">
        <v>597.79</v>
      </c>
      <c r="F647" s="195">
        <v>8.1</v>
      </c>
      <c r="G647" s="193"/>
      <c r="H647" s="136">
        <f>Tableau3384[[#This Row],[Montant
CHF]]+Tableau3384[[#This Row],[Abzug/Spesen
CHF]]</f>
        <v>597.79</v>
      </c>
      <c r="I647" s="188"/>
      <c r="J647" s="189"/>
      <c r="K647" s="189"/>
      <c r="L647" s="298"/>
      <c r="M647" s="194"/>
      <c r="N647" s="185">
        <v>45596</v>
      </c>
      <c r="O647" s="282" t="str">
        <f>IF(Tableau3384[[#This Row],[Date du paiement]]&gt;0,"",Tableau3384[[#This Row],[Montant
CHF]])</f>
        <v/>
      </c>
      <c r="P647" s="287" t="str">
        <f>IF(Tableau3384[[#This Row],[Date du paiement]]="",$B$4-Tableau3384[[#This Row],[Écheance]],"")</f>
        <v/>
      </c>
      <c r="Q647" s="168" t="str">
        <f>IF(Tableau3384[[#This Row],[Date du paiement]]="",IF(Tableau3384[[#This Row],[jours jusqu''à l''écheance]]&gt;0,Tableau3384[[#This Row],[Montant
CHF]],""),"")</f>
        <v/>
      </c>
      <c r="R647" s="298" t="str">
        <f>IF(Tableau3384[[#This Row],[Date du paiement]]="",IF(Tableau3384[[#This Row],[jours jusqu''à l''écheance]]-($B$4-$B$11-1)&gt;0,Tableau3384[[#This Row],[Montant
CHF]],""),"")</f>
        <v/>
      </c>
      <c r="S647" s="142"/>
      <c r="T647" s="168" t="str">
        <f>IF(Tableau3384[[#This Row],[Paiements prevus]]="oui",Tableau3384[[#This Row],[Montant prevu à payer CH]],"")</f>
        <v/>
      </c>
      <c r="U647" s="177"/>
      <c r="V647" s="192" t="s">
        <v>735</v>
      </c>
      <c r="W647" s="190"/>
      <c r="X647" s="187">
        <v>45596</v>
      </c>
      <c r="Y647" s="181" t="s">
        <v>58</v>
      </c>
      <c r="Z647" s="379" t="str">
        <f>IF(Tableau3384[[#This Row],[Méthode du paiement]]="Mastercard","OUI","")</f>
        <v/>
      </c>
      <c r="AA647" s="180" t="s">
        <v>30</v>
      </c>
      <c r="AB647" s="180" t="s">
        <v>712</v>
      </c>
    </row>
    <row r="648" spans="1:28" s="184" customFormat="1" hidden="1" x14ac:dyDescent="0.25">
      <c r="A648" s="182" t="s">
        <v>1550</v>
      </c>
      <c r="B648" s="185">
        <v>45566</v>
      </c>
      <c r="C648" s="185">
        <v>45565</v>
      </c>
      <c r="D648" s="186" t="s">
        <v>220</v>
      </c>
      <c r="E648" s="183">
        <v>-7500</v>
      </c>
      <c r="F648" s="195">
        <v>0</v>
      </c>
      <c r="G648" s="193"/>
      <c r="H648" s="136">
        <f>Tableau3384[[#This Row],[Montant
CHF]]+Tableau3384[[#This Row],[Abzug/Spesen
CHF]]</f>
        <v>-7500</v>
      </c>
      <c r="I648" s="188"/>
      <c r="J648" s="189"/>
      <c r="K648" s="189"/>
      <c r="L648" s="298"/>
      <c r="M648" s="194"/>
      <c r="N648" s="185">
        <v>45657</v>
      </c>
      <c r="O648" s="282">
        <f>IF(Tableau3384[[#This Row],[Date du paiement]]&gt;0,"",Tableau3384[[#This Row],[Montant
CHF]])</f>
        <v>-7500</v>
      </c>
      <c r="P648" s="287">
        <f ca="1">IF(Tableau3384[[#This Row],[Date du paiement]]="",$B$4-Tableau3384[[#This Row],[Écheance]],"")</f>
        <v>-39.53057465278107</v>
      </c>
      <c r="Q648" s="168" t="str">
        <f ca="1">IF(Tableau3384[[#This Row],[Date du paiement]]="",IF(Tableau3384[[#This Row],[jours jusqu''à l''écheance]]&gt;0,Tableau3384[[#This Row],[Montant
CHF]],""),"")</f>
        <v/>
      </c>
      <c r="R648" s="298" t="str">
        <f ca="1">IF(Tableau3384[[#This Row],[Date du paiement]]="",IF(Tableau3384[[#This Row],[jours jusqu''à l''écheance]]-($B$4-$B$11-1)&gt;0,Tableau3384[[#This Row],[Montant
CHF]],""),"")</f>
        <v/>
      </c>
      <c r="S648" s="142"/>
      <c r="T648" s="168" t="str">
        <f>IF(Tableau3384[[#This Row],[Paiements prevus]]="oui",Tableau3384[[#This Row],[Montant prevu à payer CH]],"")</f>
        <v/>
      </c>
      <c r="U648" s="177"/>
      <c r="V648" s="192"/>
      <c r="W648" s="190"/>
      <c r="X648" s="187"/>
      <c r="Y648" s="181"/>
      <c r="Z648" s="379" t="str">
        <f>IF(Tableau3384[[#This Row],[Méthode du paiement]]="Mastercard","OUI","")</f>
        <v/>
      </c>
      <c r="AA648" s="180" t="s">
        <v>43</v>
      </c>
      <c r="AB648" s="180" t="s">
        <v>1551</v>
      </c>
    </row>
    <row r="649" spans="1:28" s="184" customFormat="1" hidden="1" x14ac:dyDescent="0.25">
      <c r="A649" s="182" t="s">
        <v>1579</v>
      </c>
      <c r="B649" s="185">
        <v>45566</v>
      </c>
      <c r="C649" s="185">
        <v>45567</v>
      </c>
      <c r="D649" s="186" t="s">
        <v>220</v>
      </c>
      <c r="E649" s="183">
        <v>2462.85</v>
      </c>
      <c r="F649" s="195">
        <v>8.1</v>
      </c>
      <c r="G649" s="193"/>
      <c r="H649" s="136">
        <f>Tableau3384[[#This Row],[Montant
CHF]]+Tableau3384[[#This Row],[Abzug/Spesen
CHF]]</f>
        <v>2462.85</v>
      </c>
      <c r="I649" s="188"/>
      <c r="J649" s="189"/>
      <c r="K649" s="189"/>
      <c r="L649" s="298"/>
      <c r="M649" s="194"/>
      <c r="N649" s="185">
        <v>45595</v>
      </c>
      <c r="O649" s="282" t="str">
        <f>IF(Tableau3384[[#This Row],[Date du paiement]]&gt;0,"",Tableau3384[[#This Row],[Montant
CHF]])</f>
        <v/>
      </c>
      <c r="P649" s="287" t="str">
        <f>IF(Tableau3384[[#This Row],[Date du paiement]]="",$B$4-Tableau3384[[#This Row],[Écheance]],"")</f>
        <v/>
      </c>
      <c r="Q649" s="168" t="str">
        <f>IF(Tableau3384[[#This Row],[Date du paiement]]="",IF(Tableau3384[[#This Row],[jours jusqu''à l''écheance]]&gt;0,Tableau3384[[#This Row],[Montant
CHF]],""),"")</f>
        <v/>
      </c>
      <c r="R649" s="298" t="str">
        <f>IF(Tableau3384[[#This Row],[Date du paiement]]="",IF(Tableau3384[[#This Row],[jours jusqu''à l''écheance]]-($B$4-$B$11-1)&gt;0,Tableau3384[[#This Row],[Montant
CHF]],""),"")</f>
        <v/>
      </c>
      <c r="S649" s="142"/>
      <c r="T649" s="168" t="str">
        <f>IF(Tableau3384[[#This Row],[Paiements prevus]]="oui",Tableau3384[[#This Row],[Montant prevu à payer CH]],"")</f>
        <v/>
      </c>
      <c r="U649" s="177"/>
      <c r="V649" s="192" t="s">
        <v>735</v>
      </c>
      <c r="W649" s="190"/>
      <c r="X649" s="187">
        <v>45596</v>
      </c>
      <c r="Y649" s="181" t="s">
        <v>58</v>
      </c>
      <c r="Z649" s="379" t="str">
        <f>IF(Tableau3384[[#This Row],[Méthode du paiement]]="Mastercard","OUI","")</f>
        <v/>
      </c>
      <c r="AA649" s="180" t="s">
        <v>221</v>
      </c>
      <c r="AB649" s="180" t="s">
        <v>711</v>
      </c>
    </row>
    <row r="650" spans="1:28" s="184" customFormat="1" hidden="1" x14ac:dyDescent="0.25">
      <c r="A650" s="182" t="s">
        <v>1608</v>
      </c>
      <c r="B650" s="185">
        <v>45566</v>
      </c>
      <c r="C650" s="185">
        <v>45569</v>
      </c>
      <c r="D650" s="186" t="s">
        <v>130</v>
      </c>
      <c r="E650" s="183">
        <v>72.95</v>
      </c>
      <c r="F650" s="195">
        <v>8.1</v>
      </c>
      <c r="G650" s="193"/>
      <c r="H650" s="136">
        <f>Tableau3384[[#This Row],[Montant
CHF]]+Tableau3384[[#This Row],[Abzug/Spesen
CHF]]</f>
        <v>72.95</v>
      </c>
      <c r="I650" s="188"/>
      <c r="J650" s="189"/>
      <c r="K650" s="189"/>
      <c r="L650" s="298"/>
      <c r="M650" s="194"/>
      <c r="N650" s="185">
        <v>45596</v>
      </c>
      <c r="O650" s="282" t="str">
        <f>IF(Tableau3384[[#This Row],[Date du paiement]]&gt;0,"",Tableau3384[[#This Row],[Montant
CHF]])</f>
        <v/>
      </c>
      <c r="P650" s="287" t="str">
        <f>IF(Tableau3384[[#This Row],[Date du paiement]]="",$B$4-Tableau3384[[#This Row],[Écheance]],"")</f>
        <v/>
      </c>
      <c r="Q650" s="168" t="str">
        <f>IF(Tableau3384[[#This Row],[Date du paiement]]="",IF(Tableau3384[[#This Row],[jours jusqu''à l''écheance]]&gt;0,Tableau3384[[#This Row],[Montant
CHF]],""),"")</f>
        <v/>
      </c>
      <c r="R650" s="298" t="str">
        <f>IF(Tableau3384[[#This Row],[Date du paiement]]="",IF(Tableau3384[[#This Row],[jours jusqu''à l''écheance]]-($B$4-$B$11-1)&gt;0,Tableau3384[[#This Row],[Montant
CHF]],""),"")</f>
        <v/>
      </c>
      <c r="S650" s="142"/>
      <c r="T650" s="168" t="str">
        <f>IF(Tableau3384[[#This Row],[Paiements prevus]]="oui",Tableau3384[[#This Row],[Montant prevu à payer CH]],"")</f>
        <v/>
      </c>
      <c r="U650" s="177"/>
      <c r="V650" s="192" t="s">
        <v>735</v>
      </c>
      <c r="W650" s="190"/>
      <c r="X650" s="187">
        <v>45596</v>
      </c>
      <c r="Y650" s="181" t="s">
        <v>58</v>
      </c>
      <c r="Z650" s="379" t="str">
        <f>IF(Tableau3384[[#This Row],[Méthode du paiement]]="Mastercard","OUI","")</f>
        <v/>
      </c>
      <c r="AA650" s="180" t="s">
        <v>30</v>
      </c>
      <c r="AB650" s="180" t="s">
        <v>711</v>
      </c>
    </row>
    <row r="651" spans="1:28" s="184" customFormat="1" hidden="1" x14ac:dyDescent="0.25">
      <c r="A651" s="182" t="s">
        <v>1580</v>
      </c>
      <c r="B651" s="185">
        <v>45567</v>
      </c>
      <c r="C651" s="185">
        <v>45567</v>
      </c>
      <c r="D651" s="186" t="s">
        <v>22</v>
      </c>
      <c r="E651" s="183">
        <v>1978.25</v>
      </c>
      <c r="F651" s="195">
        <v>8.1</v>
      </c>
      <c r="G651" s="193">
        <v>-39.56</v>
      </c>
      <c r="H651" s="136">
        <f>Tableau3384[[#This Row],[Montant
CHF]]+Tableau3384[[#This Row],[Abzug/Spesen
CHF]]</f>
        <v>1938.69</v>
      </c>
      <c r="I651" s="188"/>
      <c r="J651" s="189"/>
      <c r="K651" s="189"/>
      <c r="L651" s="298"/>
      <c r="M651" s="194"/>
      <c r="N651" s="185">
        <v>45577</v>
      </c>
      <c r="O651" s="282" t="str">
        <f>IF(Tableau3384[[#This Row],[Date du paiement]]&gt;0,"",Tableau3384[[#This Row],[Montant
CHF]])</f>
        <v/>
      </c>
      <c r="P651" s="287" t="str">
        <f>IF(Tableau3384[[#This Row],[Date du paiement]]="",$B$4-Tableau3384[[#This Row],[Écheance]],"")</f>
        <v/>
      </c>
      <c r="Q651" s="168" t="str">
        <f>IF(Tableau3384[[#This Row],[Date du paiement]]="",IF(Tableau3384[[#This Row],[jours jusqu''à l''écheance]]&gt;0,Tableau3384[[#This Row],[Montant
CHF]],""),"")</f>
        <v/>
      </c>
      <c r="R651" s="298" t="str">
        <f>IF(Tableau3384[[#This Row],[Date du paiement]]="",IF(Tableau3384[[#This Row],[jours jusqu''à l''écheance]]-($B$4-$B$11-1)&gt;0,Tableau3384[[#This Row],[Montant
CHF]],""),"")</f>
        <v/>
      </c>
      <c r="S651" s="142"/>
      <c r="T651" s="168" t="str">
        <f>IF(Tableau3384[[#This Row],[Paiements prevus]]="oui",Tableau3384[[#This Row],[Montant prevu à payer CH]],"")</f>
        <v/>
      </c>
      <c r="U651" s="177"/>
      <c r="V651" s="192" t="s">
        <v>738</v>
      </c>
      <c r="W651" s="190"/>
      <c r="X651" s="187">
        <v>45579</v>
      </c>
      <c r="Y651" s="181" t="s">
        <v>58</v>
      </c>
      <c r="Z651" s="379" t="str">
        <f>IF(Tableau3384[[#This Row],[Méthode du paiement]]="Mastercard","OUI","")</f>
        <v/>
      </c>
      <c r="AA651" s="180" t="s">
        <v>14</v>
      </c>
      <c r="AB651" s="180" t="s">
        <v>1582</v>
      </c>
    </row>
    <row r="652" spans="1:28" s="184" customFormat="1" hidden="1" x14ac:dyDescent="0.25">
      <c r="A652" s="182" t="s">
        <v>1581</v>
      </c>
      <c r="B652" s="185">
        <v>45567</v>
      </c>
      <c r="C652" s="185">
        <v>45567</v>
      </c>
      <c r="D652" s="186" t="s">
        <v>22</v>
      </c>
      <c r="E652" s="183">
        <v>79.150000000000006</v>
      </c>
      <c r="F652" s="195">
        <v>8.1</v>
      </c>
      <c r="G652" s="193">
        <v>-1.58</v>
      </c>
      <c r="H652" s="136">
        <f>Tableau3384[[#This Row],[Montant
CHF]]+Tableau3384[[#This Row],[Abzug/Spesen
CHF]]</f>
        <v>77.570000000000007</v>
      </c>
      <c r="I652" s="188"/>
      <c r="J652" s="189"/>
      <c r="K652" s="189"/>
      <c r="L652" s="298"/>
      <c r="M652" s="194"/>
      <c r="N652" s="185">
        <v>45577</v>
      </c>
      <c r="O652" s="282" t="str">
        <f>IF(Tableau3384[[#This Row],[Date du paiement]]&gt;0,"",Tableau3384[[#This Row],[Montant
CHF]])</f>
        <v/>
      </c>
      <c r="P652" s="287" t="str">
        <f>IF(Tableau3384[[#This Row],[Date du paiement]]="",$B$4-Tableau3384[[#This Row],[Écheance]],"")</f>
        <v/>
      </c>
      <c r="Q652" s="168" t="str">
        <f>IF(Tableau3384[[#This Row],[Date du paiement]]="",IF(Tableau3384[[#This Row],[jours jusqu''à l''écheance]]&gt;0,Tableau3384[[#This Row],[Montant
CHF]],""),"")</f>
        <v/>
      </c>
      <c r="R652" s="298" t="str">
        <f>IF(Tableau3384[[#This Row],[Date du paiement]]="",IF(Tableau3384[[#This Row],[jours jusqu''à l''écheance]]-($B$4-$B$11-1)&gt;0,Tableau3384[[#This Row],[Montant
CHF]],""),"")</f>
        <v/>
      </c>
      <c r="S652" s="142"/>
      <c r="T652" s="168" t="str">
        <f>IF(Tableau3384[[#This Row],[Paiements prevus]]="oui",Tableau3384[[#This Row],[Montant prevu à payer CH]],"")</f>
        <v/>
      </c>
      <c r="U652" s="177"/>
      <c r="V652" s="192" t="s">
        <v>738</v>
      </c>
      <c r="W652" s="190"/>
      <c r="X652" s="187">
        <v>45579</v>
      </c>
      <c r="Y652" s="181" t="s">
        <v>58</v>
      </c>
      <c r="Z652" s="379" t="str">
        <f>IF(Tableau3384[[#This Row],[Méthode du paiement]]="Mastercard","OUI","")</f>
        <v/>
      </c>
      <c r="AA652" s="180" t="s">
        <v>14</v>
      </c>
      <c r="AB652" s="180" t="s">
        <v>1583</v>
      </c>
    </row>
    <row r="653" spans="1:28" s="184" customFormat="1" hidden="1" x14ac:dyDescent="0.25">
      <c r="A653" s="182" t="s">
        <v>1601</v>
      </c>
      <c r="B653" s="185">
        <v>45567</v>
      </c>
      <c r="C653" s="185">
        <v>45568</v>
      </c>
      <c r="D653" s="186" t="s">
        <v>50</v>
      </c>
      <c r="E653" s="183">
        <v>1340.25</v>
      </c>
      <c r="F653" s="195">
        <v>8.1</v>
      </c>
      <c r="G653" s="193"/>
      <c r="H653" s="136">
        <f>Tableau3384[[#This Row],[Montant
CHF]]+Tableau3384[[#This Row],[Abzug/Spesen
CHF]]</f>
        <v>1340.25</v>
      </c>
      <c r="I653" s="188"/>
      <c r="J653" s="189"/>
      <c r="K653" s="189"/>
      <c r="L653" s="298"/>
      <c r="M653" s="194"/>
      <c r="N653" s="185">
        <v>45596</v>
      </c>
      <c r="O653" s="282" t="str">
        <f>IF(Tableau3384[[#This Row],[Date du paiement]]&gt;0,"",Tableau3384[[#This Row],[Montant
CHF]])</f>
        <v/>
      </c>
      <c r="P653" s="287" t="str">
        <f>IF(Tableau3384[[#This Row],[Date du paiement]]="",$B$4-Tableau3384[[#This Row],[Écheance]],"")</f>
        <v/>
      </c>
      <c r="Q653" s="168" t="str">
        <f>IF(Tableau3384[[#This Row],[Date du paiement]]="",IF(Tableau3384[[#This Row],[jours jusqu''à l''écheance]]&gt;0,Tableau3384[[#This Row],[Montant
CHF]],""),"")</f>
        <v/>
      </c>
      <c r="R653" s="298" t="str">
        <f>IF(Tableau3384[[#This Row],[Date du paiement]]="",IF(Tableau3384[[#This Row],[jours jusqu''à l''écheance]]-($B$4-$B$11-1)&gt;0,Tableau3384[[#This Row],[Montant
CHF]],""),"")</f>
        <v/>
      </c>
      <c r="S653" s="142"/>
      <c r="T653" s="168" t="str">
        <f>IF(Tableau3384[[#This Row],[Paiements prevus]]="oui",Tableau3384[[#This Row],[Montant prevu à payer CH]],"")</f>
        <v/>
      </c>
      <c r="U653" s="177"/>
      <c r="V653" s="192" t="s">
        <v>735</v>
      </c>
      <c r="W653" s="190"/>
      <c r="X653" s="187">
        <v>45597</v>
      </c>
      <c r="Y653" s="181" t="s">
        <v>58</v>
      </c>
      <c r="Z653" s="379" t="str">
        <f>IF(Tableau3384[[#This Row],[Méthode du paiement]]="Mastercard","OUI","")</f>
        <v/>
      </c>
      <c r="AA653" s="180" t="s">
        <v>1431</v>
      </c>
      <c r="AB653" s="180" t="s">
        <v>711</v>
      </c>
    </row>
    <row r="654" spans="1:28" s="184" customFormat="1" hidden="1" x14ac:dyDescent="0.25">
      <c r="A654" s="182" t="s">
        <v>1611</v>
      </c>
      <c r="B654" s="185">
        <v>45567</v>
      </c>
      <c r="C654" s="185">
        <v>45569</v>
      </c>
      <c r="D654" s="186" t="s">
        <v>1412</v>
      </c>
      <c r="E654" s="183">
        <v>480</v>
      </c>
      <c r="F654" s="195">
        <v>0</v>
      </c>
      <c r="G654" s="193"/>
      <c r="H654" s="136">
        <f>Tableau3384[[#This Row],[Montant
CHF]]+Tableau3384[[#This Row],[Abzug/Spesen
CHF]]</f>
        <v>480</v>
      </c>
      <c r="I654" s="188"/>
      <c r="J654" s="189"/>
      <c r="K654" s="189"/>
      <c r="L654" s="298"/>
      <c r="M654" s="194"/>
      <c r="N654" s="185">
        <v>45587</v>
      </c>
      <c r="O654" s="282" t="str">
        <f>IF(Tableau3384[[#This Row],[Date du paiement]]&gt;0,"",Tableau3384[[#This Row],[Montant
CHF]])</f>
        <v/>
      </c>
      <c r="P654" s="287" t="str">
        <f>IF(Tableau3384[[#This Row],[Date du paiement]]="",$B$4-Tableau3384[[#This Row],[Écheance]],"")</f>
        <v/>
      </c>
      <c r="Q654" s="168" t="str">
        <f>IF(Tableau3384[[#This Row],[Date du paiement]]="",IF(Tableau3384[[#This Row],[jours jusqu''à l''écheance]]&gt;0,Tableau3384[[#This Row],[Montant
CHF]],""),"")</f>
        <v/>
      </c>
      <c r="R654" s="298" t="str">
        <f>IF(Tableau3384[[#This Row],[Date du paiement]]="",IF(Tableau3384[[#This Row],[jours jusqu''à l''écheance]]-($B$4-$B$11-1)&gt;0,Tableau3384[[#This Row],[Montant
CHF]],""),"")</f>
        <v/>
      </c>
      <c r="S654" s="142"/>
      <c r="T654" s="168" t="str">
        <f>IF(Tableau3384[[#This Row],[Paiements prevus]]="oui",Tableau3384[[#This Row],[Montant prevu à payer CH]],"")</f>
        <v/>
      </c>
      <c r="U654" s="177"/>
      <c r="V654" s="192" t="s">
        <v>735</v>
      </c>
      <c r="W654" s="190"/>
      <c r="X654" s="187">
        <v>45597</v>
      </c>
      <c r="Y654" s="181" t="s">
        <v>58</v>
      </c>
      <c r="Z654" s="379" t="str">
        <f>IF(Tableau3384[[#This Row],[Méthode du paiement]]="Mastercard","OUI","")</f>
        <v/>
      </c>
      <c r="AA654" s="180" t="s">
        <v>43</v>
      </c>
      <c r="AB654" s="180" t="s">
        <v>1612</v>
      </c>
    </row>
    <row r="655" spans="1:28" s="184" customFormat="1" hidden="1" x14ac:dyDescent="0.25">
      <c r="A655" s="182" t="s">
        <v>1593</v>
      </c>
      <c r="B655" s="185">
        <v>45567</v>
      </c>
      <c r="C655" s="185">
        <v>45568</v>
      </c>
      <c r="D655" s="186" t="s">
        <v>216</v>
      </c>
      <c r="E655" s="183">
        <v>2467.85</v>
      </c>
      <c r="F655" s="195">
        <v>100</v>
      </c>
      <c r="G655" s="193"/>
      <c r="H655" s="136">
        <f>Tableau3384[[#This Row],[Montant
CHF]]+Tableau3384[[#This Row],[Abzug/Spesen
CHF]]</f>
        <v>2467.85</v>
      </c>
      <c r="I655" s="188"/>
      <c r="J655" s="189"/>
      <c r="K655" s="189"/>
      <c r="L655" s="298"/>
      <c r="M655" s="194"/>
      <c r="N655" s="185">
        <v>45628</v>
      </c>
      <c r="O655" s="282">
        <f>IF(Tableau3384[[#This Row],[Date du paiement]]&gt;0,"",Tableau3384[[#This Row],[Montant
CHF]])</f>
        <v>2467.85</v>
      </c>
      <c r="P655" s="287">
        <f ca="1">IF(Tableau3384[[#This Row],[Date du paiement]]="",$B$4-Tableau3384[[#This Row],[Écheance]],"")</f>
        <v>-10.53057465278107</v>
      </c>
      <c r="Q655" s="168" t="str">
        <f ca="1">IF(Tableau3384[[#This Row],[Date du paiement]]="",IF(Tableau3384[[#This Row],[jours jusqu''à l''écheance]]&gt;0,Tableau3384[[#This Row],[Montant
CHF]],""),"")</f>
        <v/>
      </c>
      <c r="R655" s="298" t="str">
        <f ca="1">IF(Tableau3384[[#This Row],[Date du paiement]]="",IF(Tableau3384[[#This Row],[jours jusqu''à l''écheance]]-($B$4-$B$11-1)&gt;0,Tableau3384[[#This Row],[Montant
CHF]],""),"")</f>
        <v/>
      </c>
      <c r="S655" s="142"/>
      <c r="T655" s="168" t="str">
        <f>IF(Tableau3384[[#This Row],[Paiements prevus]]="oui",Tableau3384[[#This Row],[Montant prevu à payer CH]],"")</f>
        <v/>
      </c>
      <c r="U655" s="177"/>
      <c r="V655" s="192" t="s">
        <v>736</v>
      </c>
      <c r="W655" s="190"/>
      <c r="X655" s="187"/>
      <c r="Y655" s="181"/>
      <c r="Z655" s="379" t="str">
        <f>IF(Tableau3384[[#This Row],[Méthode du paiement]]="Mastercard","OUI","")</f>
        <v/>
      </c>
      <c r="AA655" s="180" t="s">
        <v>604</v>
      </c>
      <c r="AB655" s="180" t="s">
        <v>1539</v>
      </c>
    </row>
    <row r="656" spans="1:28" s="184" customFormat="1" hidden="1" x14ac:dyDescent="0.25">
      <c r="A656" s="182" t="s">
        <v>1585</v>
      </c>
      <c r="B656" s="185">
        <v>45567</v>
      </c>
      <c r="C656" s="185">
        <v>45567</v>
      </c>
      <c r="D656" s="186" t="s">
        <v>1586</v>
      </c>
      <c r="E656" s="183">
        <v>2878.15</v>
      </c>
      <c r="F656" s="195">
        <v>8.1</v>
      </c>
      <c r="G656" s="193"/>
      <c r="H656" s="136">
        <f>Tableau3384[[#This Row],[Montant
CHF]]+Tableau3384[[#This Row],[Abzug/Spesen
CHF]]</f>
        <v>2878.15</v>
      </c>
      <c r="I656" s="188"/>
      <c r="J656" s="189"/>
      <c r="K656" s="189"/>
      <c r="L656" s="298"/>
      <c r="M656" s="194"/>
      <c r="N656" s="185">
        <v>45577</v>
      </c>
      <c r="O656" s="282" t="str">
        <f>IF(Tableau3384[[#This Row],[Date du paiement]]&gt;0,"",Tableau3384[[#This Row],[Montant
CHF]])</f>
        <v/>
      </c>
      <c r="P656" s="287" t="str">
        <f>IF(Tableau3384[[#This Row],[Date du paiement]]="",$B$4-Tableau3384[[#This Row],[Écheance]],"")</f>
        <v/>
      </c>
      <c r="Q656" s="168" t="str">
        <f>IF(Tableau3384[[#This Row],[Date du paiement]]="",IF(Tableau3384[[#This Row],[jours jusqu''à l''écheance]]&gt;0,Tableau3384[[#This Row],[Montant
CHF]],""),"")</f>
        <v/>
      </c>
      <c r="R656" s="298" t="str">
        <f>IF(Tableau3384[[#This Row],[Date du paiement]]="",IF(Tableau3384[[#This Row],[jours jusqu''à l''écheance]]-($B$4-$B$11-1)&gt;0,Tableau3384[[#This Row],[Montant
CHF]],""),"")</f>
        <v/>
      </c>
      <c r="S656" s="142"/>
      <c r="T656" s="168" t="str">
        <f>IF(Tableau3384[[#This Row],[Paiements prevus]]="oui",Tableau3384[[#This Row],[Montant prevu à payer CH]],"")</f>
        <v/>
      </c>
      <c r="U656" s="177"/>
      <c r="V656" s="192" t="s">
        <v>735</v>
      </c>
      <c r="W656" s="190"/>
      <c r="X656" s="187">
        <v>45600</v>
      </c>
      <c r="Y656" s="181" t="s">
        <v>58</v>
      </c>
      <c r="Z656" s="379" t="str">
        <f>IF(Tableau3384[[#This Row],[Méthode du paiement]]="Mastercard","OUI","")</f>
        <v/>
      </c>
      <c r="AA656" s="180" t="s">
        <v>4</v>
      </c>
      <c r="AB656" s="180" t="s">
        <v>1587</v>
      </c>
    </row>
    <row r="657" spans="1:28" s="184" customFormat="1" hidden="1" x14ac:dyDescent="0.25">
      <c r="A657" s="182" t="s">
        <v>129</v>
      </c>
      <c r="B657" s="185">
        <v>45568</v>
      </c>
      <c r="C657" s="185">
        <v>45567</v>
      </c>
      <c r="D657" s="186" t="s">
        <v>87</v>
      </c>
      <c r="E657" s="183">
        <v>3370.45</v>
      </c>
      <c r="F657" s="195">
        <v>0</v>
      </c>
      <c r="G657" s="193"/>
      <c r="H657" s="136">
        <f>Tableau3384[[#This Row],[Montant
CHF]]+Tableau3384[[#This Row],[Abzug/Spesen
CHF]]</f>
        <v>3370.45</v>
      </c>
      <c r="I657" s="188"/>
      <c r="J657" s="189"/>
      <c r="K657" s="189"/>
      <c r="L657" s="298"/>
      <c r="M657" s="194"/>
      <c r="N657" s="185">
        <v>45597</v>
      </c>
      <c r="O657" s="282" t="str">
        <f>IF(Tableau3384[[#This Row],[Date du paiement]]&gt;0,"",Tableau3384[[#This Row],[Montant
CHF]])</f>
        <v/>
      </c>
      <c r="P657" s="287" t="str">
        <f>IF(Tableau3384[[#This Row],[Date du paiement]]="",$B$4-Tableau3384[[#This Row],[Écheance]],"")</f>
        <v/>
      </c>
      <c r="Q657" s="168" t="str">
        <f>IF(Tableau3384[[#This Row],[Date du paiement]]="",IF(Tableau3384[[#This Row],[jours jusqu''à l''écheance]]&gt;0,Tableau3384[[#This Row],[Montant
CHF]],""),"")</f>
        <v/>
      </c>
      <c r="R657" s="298" t="str">
        <f>IF(Tableau3384[[#This Row],[Date du paiement]]="",IF(Tableau3384[[#This Row],[jours jusqu''à l''écheance]]-($B$4-$B$11-1)&gt;0,Tableau3384[[#This Row],[Montant
CHF]],""),"")</f>
        <v/>
      </c>
      <c r="S657" s="142"/>
      <c r="T657" s="168" t="str">
        <f>IF(Tableau3384[[#This Row],[Paiements prevus]]="oui",Tableau3384[[#This Row],[Montant prevu à payer CH]],"")</f>
        <v/>
      </c>
      <c r="U657" s="177"/>
      <c r="V657" s="192" t="s">
        <v>739</v>
      </c>
      <c r="W657" s="190"/>
      <c r="X657" s="187">
        <v>45600</v>
      </c>
      <c r="Y657" s="181" t="s">
        <v>58</v>
      </c>
      <c r="Z657" s="379" t="str">
        <f>IF(Tableau3384[[#This Row],[Méthode du paiement]]="Mastercard","OUI","")</f>
        <v/>
      </c>
      <c r="AA657" s="180" t="s">
        <v>4</v>
      </c>
      <c r="AB657" s="180" t="s">
        <v>712</v>
      </c>
    </row>
    <row r="658" spans="1:28" s="184" customFormat="1" hidden="1" x14ac:dyDescent="0.25">
      <c r="A658" s="182" t="s">
        <v>1591</v>
      </c>
      <c r="B658" s="185">
        <v>45568</v>
      </c>
      <c r="C658" s="185">
        <v>45568</v>
      </c>
      <c r="D658" s="186" t="s">
        <v>25</v>
      </c>
      <c r="E658" s="183">
        <v>40</v>
      </c>
      <c r="F658" s="195">
        <v>0</v>
      </c>
      <c r="G658" s="193"/>
      <c r="H658" s="136">
        <f>Tableau3384[[#This Row],[Montant
CHF]]+Tableau3384[[#This Row],[Abzug/Spesen
CHF]]</f>
        <v>40</v>
      </c>
      <c r="I658" s="188"/>
      <c r="J658" s="189"/>
      <c r="K658" s="189"/>
      <c r="L658" s="298"/>
      <c r="M658" s="194"/>
      <c r="N658" s="185">
        <v>45588</v>
      </c>
      <c r="O658" s="282" t="str">
        <f>IF(Tableau3384[[#This Row],[Date du paiement]]&gt;0,"",Tableau3384[[#This Row],[Montant
CHF]])</f>
        <v/>
      </c>
      <c r="P658" s="287" t="str">
        <f>IF(Tableau3384[[#This Row],[Date du paiement]]="",$B$4-Tableau3384[[#This Row],[Écheance]],"")</f>
        <v/>
      </c>
      <c r="Q658" s="168" t="str">
        <f>IF(Tableau3384[[#This Row],[Date du paiement]]="",IF(Tableau3384[[#This Row],[jours jusqu''à l''écheance]]&gt;0,Tableau3384[[#This Row],[Montant
CHF]],""),"")</f>
        <v/>
      </c>
      <c r="R658" s="298" t="str">
        <f>IF(Tableau3384[[#This Row],[Date du paiement]]="",IF(Tableau3384[[#This Row],[jours jusqu''à l''écheance]]-($B$4-$B$11-1)&gt;0,Tableau3384[[#This Row],[Montant
CHF]],""),"")</f>
        <v/>
      </c>
      <c r="S658" s="142"/>
      <c r="T658" s="168" t="str">
        <f>IF(Tableau3384[[#This Row],[Paiements prevus]]="oui",Tableau3384[[#This Row],[Montant prevu à payer CH]],"")</f>
        <v/>
      </c>
      <c r="U658" s="177"/>
      <c r="V658" s="192" t="s">
        <v>738</v>
      </c>
      <c r="W658" s="190"/>
      <c r="X658" s="187">
        <v>45600</v>
      </c>
      <c r="Y658" s="181" t="s">
        <v>58</v>
      </c>
      <c r="Z658" s="379" t="str">
        <f>IF(Tableau3384[[#This Row],[Méthode du paiement]]="Mastercard","OUI","")</f>
        <v/>
      </c>
      <c r="AA658" s="180" t="s">
        <v>26</v>
      </c>
      <c r="AB658" s="180" t="s">
        <v>1592</v>
      </c>
    </row>
    <row r="659" spans="1:28" s="184" customFormat="1" hidden="1" x14ac:dyDescent="0.25">
      <c r="A659" s="182" t="s">
        <v>1698</v>
      </c>
      <c r="B659" s="185">
        <v>45568</v>
      </c>
      <c r="C659" s="185">
        <v>45568</v>
      </c>
      <c r="D659" s="440" t="s">
        <v>196</v>
      </c>
      <c r="E659" s="183">
        <v>353.8</v>
      </c>
      <c r="F659" s="195">
        <v>8.1</v>
      </c>
      <c r="G659" s="193"/>
      <c r="H659" s="136">
        <f>Tableau3384[[#This Row],[Montant
CHF]]+Tableau3384[[#This Row],[Abzug/Spesen
CHF]]</f>
        <v>353.8</v>
      </c>
      <c r="I659" s="188"/>
      <c r="J659" s="189"/>
      <c r="K659" s="189"/>
      <c r="L659" s="298"/>
      <c r="M659" s="194"/>
      <c r="N659" s="185">
        <v>45578</v>
      </c>
      <c r="O659" s="282" t="str">
        <f>IF(Tableau3384[[#This Row],[Date du paiement]]&gt;0,"",Tableau3384[[#This Row],[Montant
CHF]])</f>
        <v/>
      </c>
      <c r="P659" s="287" t="str">
        <f>IF(Tableau3384[[#This Row],[Date du paiement]]="",$B$4-Tableau3384[[#This Row],[Écheance]],"")</f>
        <v/>
      </c>
      <c r="Q659" s="168" t="str">
        <f>IF(Tableau3384[[#This Row],[Date du paiement]]="",IF(Tableau3384[[#This Row],[jours jusqu''à l''écheance]]&gt;0,Tableau3384[[#This Row],[Montant
CHF]],""),"")</f>
        <v/>
      </c>
      <c r="R659" s="298" t="str">
        <f>IF(Tableau3384[[#This Row],[Date du paiement]]="",IF(Tableau3384[[#This Row],[jours jusqu''à l''écheance]]-($B$4-$B$11-1)&gt;0,Tableau3384[[#This Row],[Montant
CHF]],""),"")</f>
        <v/>
      </c>
      <c r="S659" s="142"/>
      <c r="T659" s="168" t="str">
        <f>IF(Tableau3384[[#This Row],[Paiements prevus]]="oui",Tableau3384[[#This Row],[Montant prevu à payer CH]],"")</f>
        <v/>
      </c>
      <c r="U659" s="177"/>
      <c r="V659" s="192" t="s">
        <v>735</v>
      </c>
      <c r="W659" s="190"/>
      <c r="X659" s="187">
        <v>45600</v>
      </c>
      <c r="Y659" s="181" t="s">
        <v>58</v>
      </c>
      <c r="Z659" s="379" t="str">
        <f>IF(Tableau3384[[#This Row],[Méthode du paiement]]="Mastercard","OUI","")</f>
        <v/>
      </c>
      <c r="AA659" s="180" t="s">
        <v>4</v>
      </c>
      <c r="AB659" s="180" t="s">
        <v>1706</v>
      </c>
    </row>
    <row r="660" spans="1:28" s="184" customFormat="1" hidden="1" x14ac:dyDescent="0.25">
      <c r="A660" s="182" t="s">
        <v>1610</v>
      </c>
      <c r="B660" s="185">
        <v>45568</v>
      </c>
      <c r="C660" s="185">
        <v>45569</v>
      </c>
      <c r="D660" s="186" t="s">
        <v>48</v>
      </c>
      <c r="E660" s="183">
        <v>51.75</v>
      </c>
      <c r="F660" s="195">
        <v>8.1</v>
      </c>
      <c r="G660" s="193"/>
      <c r="H660" s="136">
        <f>Tableau3384[[#This Row],[Montant
CHF]]+Tableau3384[[#This Row],[Abzug/Spesen
CHF]]</f>
        <v>51.75</v>
      </c>
      <c r="I660" s="188"/>
      <c r="J660" s="189"/>
      <c r="K660" s="189"/>
      <c r="L660" s="298"/>
      <c r="M660" s="194"/>
      <c r="N660" s="185">
        <v>45588</v>
      </c>
      <c r="O660" s="282" t="str">
        <f>IF(Tableau3384[[#This Row],[Date du paiement]]&gt;0,"",Tableau3384[[#This Row],[Montant
CHF]])</f>
        <v/>
      </c>
      <c r="P660" s="287" t="str">
        <f>IF(Tableau3384[[#This Row],[Date du paiement]]="",$B$4-Tableau3384[[#This Row],[Écheance]],"")</f>
        <v/>
      </c>
      <c r="Q660" s="168" t="str">
        <f>IF(Tableau3384[[#This Row],[Date du paiement]]="",IF(Tableau3384[[#This Row],[jours jusqu''à l''écheance]]&gt;0,Tableau3384[[#This Row],[Montant
CHF]],""),"")</f>
        <v/>
      </c>
      <c r="R660" s="298" t="str">
        <f>IF(Tableau3384[[#This Row],[Date du paiement]]="",IF(Tableau3384[[#This Row],[jours jusqu''à l''écheance]]-($B$4-$B$11-1)&gt;0,Tableau3384[[#This Row],[Montant
CHF]],""),"")</f>
        <v/>
      </c>
      <c r="S660" s="142"/>
      <c r="T660" s="168" t="str">
        <f>IF(Tableau3384[[#This Row],[Paiements prevus]]="oui",Tableau3384[[#This Row],[Montant prevu à payer CH]],"")</f>
        <v/>
      </c>
      <c r="U660" s="177"/>
      <c r="V660" s="192" t="s">
        <v>735</v>
      </c>
      <c r="W660" s="190"/>
      <c r="X660" s="187">
        <v>45600</v>
      </c>
      <c r="Y660" s="181" t="s">
        <v>58</v>
      </c>
      <c r="Z660" s="379" t="str">
        <f>IF(Tableau3384[[#This Row],[Méthode du paiement]]="Mastercard","OUI","")</f>
        <v/>
      </c>
      <c r="AA660" s="180" t="s">
        <v>39</v>
      </c>
      <c r="AB660" s="180" t="s">
        <v>711</v>
      </c>
    </row>
    <row r="661" spans="1:28" s="184" customFormat="1" hidden="1" x14ac:dyDescent="0.25">
      <c r="A661" s="182" t="s">
        <v>1650</v>
      </c>
      <c r="B661" s="185">
        <v>45569</v>
      </c>
      <c r="C661" s="185">
        <v>45580</v>
      </c>
      <c r="D661" s="186" t="s">
        <v>38</v>
      </c>
      <c r="E661" s="183">
        <v>89.35</v>
      </c>
      <c r="F661" s="195">
        <v>8.1</v>
      </c>
      <c r="G661" s="193"/>
      <c r="H661" s="136">
        <f>Tableau3384[[#This Row],[Montant
CHF]]+Tableau3384[[#This Row],[Abzug/Spesen
CHF]]</f>
        <v>89.35</v>
      </c>
      <c r="I661" s="188"/>
      <c r="J661" s="189"/>
      <c r="K661" s="189"/>
      <c r="L661" s="298"/>
      <c r="M661" s="194"/>
      <c r="N661" s="185">
        <v>45593</v>
      </c>
      <c r="O661" s="282" t="str">
        <f>IF(Tableau3384[[#This Row],[Date du paiement]]&gt;0,"",Tableau3384[[#This Row],[Montant
CHF]])</f>
        <v/>
      </c>
      <c r="P661" s="287" t="str">
        <f>IF(Tableau3384[[#This Row],[Date du paiement]]="",$B$4-Tableau3384[[#This Row],[Écheance]],"")</f>
        <v/>
      </c>
      <c r="Q661" s="168" t="str">
        <f>IF(Tableau3384[[#This Row],[Date du paiement]]="",IF(Tableau3384[[#This Row],[jours jusqu''à l''écheance]]&gt;0,Tableau3384[[#This Row],[Montant
CHF]],""),"")</f>
        <v/>
      </c>
      <c r="R661" s="298" t="str">
        <f>IF(Tableau3384[[#This Row],[Date du paiement]]="",IF(Tableau3384[[#This Row],[jours jusqu''à l''écheance]]-($B$4-$B$11-1)&gt;0,Tableau3384[[#This Row],[Montant
CHF]],""),"")</f>
        <v/>
      </c>
      <c r="S661" s="142"/>
      <c r="T661" s="168" t="str">
        <f>IF(Tableau3384[[#This Row],[Paiements prevus]]="oui",Tableau3384[[#This Row],[Montant prevu à payer CH]],"")</f>
        <v/>
      </c>
      <c r="U661" s="177"/>
      <c r="V661" s="192" t="s">
        <v>735</v>
      </c>
      <c r="W661" s="190"/>
      <c r="X661" s="187">
        <v>45593</v>
      </c>
      <c r="Y661" s="181" t="s">
        <v>58</v>
      </c>
      <c r="Z661" s="379" t="str">
        <f>IF(Tableau3384[[#This Row],[Méthode du paiement]]="Mastercard","OUI","")</f>
        <v/>
      </c>
      <c r="AA661" s="180" t="s">
        <v>39</v>
      </c>
      <c r="AB661" s="180" t="s">
        <v>712</v>
      </c>
    </row>
    <row r="662" spans="1:28" s="184" customFormat="1" hidden="1" x14ac:dyDescent="0.25">
      <c r="A662" s="182" t="s">
        <v>1603</v>
      </c>
      <c r="B662" s="185">
        <v>45569</v>
      </c>
      <c r="C662" s="185">
        <v>45569</v>
      </c>
      <c r="D662" s="186" t="s">
        <v>807</v>
      </c>
      <c r="E662" s="183">
        <v>473.5</v>
      </c>
      <c r="F662" s="195">
        <v>8.1</v>
      </c>
      <c r="G662" s="193"/>
      <c r="H662" s="136">
        <f>Tableau3384[[#This Row],[Montant
CHF]]+Tableau3384[[#This Row],[Abzug/Spesen
CHF]]</f>
        <v>473.5</v>
      </c>
      <c r="I662" s="188"/>
      <c r="J662" s="189"/>
      <c r="K662" s="189"/>
      <c r="L662" s="298"/>
      <c r="M662" s="194"/>
      <c r="N662" s="185">
        <v>45599</v>
      </c>
      <c r="O662" s="282" t="str">
        <f>IF(Tableau3384[[#This Row],[Date du paiement]]&gt;0,"",Tableau3384[[#This Row],[Montant
CHF]])</f>
        <v/>
      </c>
      <c r="P662" s="287" t="str">
        <f>IF(Tableau3384[[#This Row],[Date du paiement]]="",$B$4-Tableau3384[[#This Row],[Écheance]],"")</f>
        <v/>
      </c>
      <c r="Q662" s="168" t="str">
        <f>IF(Tableau3384[[#This Row],[Date du paiement]]="",IF(Tableau3384[[#This Row],[jours jusqu''à l''écheance]]&gt;0,Tableau3384[[#This Row],[Montant
CHF]],""),"")</f>
        <v/>
      </c>
      <c r="R662" s="298" t="str">
        <f>IF(Tableau3384[[#This Row],[Date du paiement]]="",IF(Tableau3384[[#This Row],[jours jusqu''à l''écheance]]-($B$4-$B$11-1)&gt;0,Tableau3384[[#This Row],[Montant
CHF]],""),"")</f>
        <v/>
      </c>
      <c r="S662" s="142"/>
      <c r="T662" s="168" t="str">
        <f>IF(Tableau3384[[#This Row],[Paiements prevus]]="oui",Tableau3384[[#This Row],[Montant prevu à payer CH]],"")</f>
        <v/>
      </c>
      <c r="U662" s="177"/>
      <c r="V662" s="192" t="s">
        <v>738</v>
      </c>
      <c r="W662" s="190"/>
      <c r="X662" s="187">
        <v>45600</v>
      </c>
      <c r="Y662" s="181" t="s">
        <v>58</v>
      </c>
      <c r="Z662" s="379" t="str">
        <f>IF(Tableau3384[[#This Row],[Méthode du paiement]]="Mastercard","OUI","")</f>
        <v/>
      </c>
      <c r="AA662" s="180" t="s">
        <v>14</v>
      </c>
      <c r="AB662" s="180" t="s">
        <v>1604</v>
      </c>
    </row>
    <row r="663" spans="1:28" s="184" customFormat="1" hidden="1" x14ac:dyDescent="0.25">
      <c r="A663" s="182" t="s">
        <v>1624</v>
      </c>
      <c r="B663" s="185">
        <v>45572</v>
      </c>
      <c r="C663" s="185">
        <v>45572</v>
      </c>
      <c r="D663" s="186" t="s">
        <v>216</v>
      </c>
      <c r="E663" s="183">
        <v>1037.3499999999999</v>
      </c>
      <c r="F663" s="195">
        <v>100</v>
      </c>
      <c r="G663" s="193"/>
      <c r="H663" s="136">
        <f>Tableau3384[[#This Row],[Montant
CHF]]+Tableau3384[[#This Row],[Abzug/Spesen
CHF]]</f>
        <v>1037.3499999999999</v>
      </c>
      <c r="I663" s="188"/>
      <c r="J663" s="189"/>
      <c r="K663" s="189"/>
      <c r="L663" s="298"/>
      <c r="M663" s="194"/>
      <c r="N663" s="185">
        <v>45632</v>
      </c>
      <c r="O663" s="282">
        <f>IF(Tableau3384[[#This Row],[Date du paiement]]&gt;0,"",Tableau3384[[#This Row],[Montant
CHF]])</f>
        <v>1037.3499999999999</v>
      </c>
      <c r="P663" s="287">
        <f ca="1">IF(Tableau3384[[#This Row],[Date du paiement]]="",$B$4-Tableau3384[[#This Row],[Écheance]],"")</f>
        <v>-14.53057465278107</v>
      </c>
      <c r="Q663" s="168" t="str">
        <f ca="1">IF(Tableau3384[[#This Row],[Date du paiement]]="",IF(Tableau3384[[#This Row],[jours jusqu''à l''écheance]]&gt;0,Tableau3384[[#This Row],[Montant
CHF]],""),"")</f>
        <v/>
      </c>
      <c r="R663" s="298" t="str">
        <f ca="1">IF(Tableau3384[[#This Row],[Date du paiement]]="",IF(Tableau3384[[#This Row],[jours jusqu''à l''écheance]]-($B$4-$B$11-1)&gt;0,Tableau3384[[#This Row],[Montant
CHF]],""),"")</f>
        <v/>
      </c>
      <c r="S663" s="142"/>
      <c r="T663" s="168" t="str">
        <f>IF(Tableau3384[[#This Row],[Paiements prevus]]="oui",Tableau3384[[#This Row],[Montant prevu à payer CH]],"")</f>
        <v/>
      </c>
      <c r="U663" s="177"/>
      <c r="V663" s="192" t="s">
        <v>736</v>
      </c>
      <c r="W663" s="190"/>
      <c r="X663" s="187"/>
      <c r="Y663" s="181"/>
      <c r="Z663" s="379" t="str">
        <f>IF(Tableau3384[[#This Row],[Méthode du paiement]]="Mastercard","OUI","")</f>
        <v/>
      </c>
      <c r="AA663" s="180" t="s">
        <v>604</v>
      </c>
      <c r="AB663" s="180" t="s">
        <v>1566</v>
      </c>
    </row>
    <row r="664" spans="1:28" s="184" customFormat="1" hidden="1" x14ac:dyDescent="0.25">
      <c r="A664" s="182" t="s">
        <v>1622</v>
      </c>
      <c r="B664" s="185">
        <v>45573</v>
      </c>
      <c r="C664" s="185">
        <v>45574</v>
      </c>
      <c r="D664" s="186" t="s">
        <v>104</v>
      </c>
      <c r="E664" s="183">
        <v>117</v>
      </c>
      <c r="F664" s="195">
        <v>8.1</v>
      </c>
      <c r="G664" s="193"/>
      <c r="H664" s="136">
        <f>Tableau3384[[#This Row],[Montant
CHF]]+Tableau3384[[#This Row],[Abzug/Spesen
CHF]]</f>
        <v>117</v>
      </c>
      <c r="I664" s="188"/>
      <c r="J664" s="189"/>
      <c r="K664" s="189"/>
      <c r="L664" s="298"/>
      <c r="M664" s="194"/>
      <c r="N664" s="185">
        <v>45573</v>
      </c>
      <c r="O664" s="282" t="str">
        <f>IF(Tableau3384[[#This Row],[Date du paiement]]&gt;0,"",Tableau3384[[#This Row],[Montant
CHF]])</f>
        <v/>
      </c>
      <c r="P664" s="287" t="str">
        <f>IF(Tableau3384[[#This Row],[Date du paiement]]="",$B$4-Tableau3384[[#This Row],[Écheance]],"")</f>
        <v/>
      </c>
      <c r="Q664" s="168" t="str">
        <f>IF(Tableau3384[[#This Row],[Date du paiement]]="",IF(Tableau3384[[#This Row],[jours jusqu''à l''écheance]]&gt;0,Tableau3384[[#This Row],[Montant
CHF]],""),"")</f>
        <v/>
      </c>
      <c r="R664" s="298" t="str">
        <f>IF(Tableau3384[[#This Row],[Date du paiement]]="",IF(Tableau3384[[#This Row],[jours jusqu''à l''écheance]]&gt;0,Tableau3384[[#This Row],[Montant
CHF]],""),"")</f>
        <v/>
      </c>
      <c r="S664" s="142"/>
      <c r="T664" s="168" t="str">
        <f>IF(Tableau3384[[#This Row],[Paiements prevus]]="oui",Tableau3384[[#This Row],[Montant prevu à payer CH]],"")</f>
        <v/>
      </c>
      <c r="U664" s="177"/>
      <c r="V664" s="192"/>
      <c r="W664" s="190" t="s">
        <v>1747</v>
      </c>
      <c r="X664" s="187">
        <v>45573</v>
      </c>
      <c r="Y664" s="181" t="s">
        <v>105</v>
      </c>
      <c r="Z664" s="379" t="str">
        <f>IF(Tableau3384[[#This Row],[Méthode du paiement]]="Mastercard","OUI","")</f>
        <v>OUI</v>
      </c>
      <c r="AA664" s="180" t="s">
        <v>14</v>
      </c>
      <c r="AB664" s="180" t="s">
        <v>1623</v>
      </c>
    </row>
    <row r="665" spans="1:28" s="184" customFormat="1" hidden="1" x14ac:dyDescent="0.25">
      <c r="A665" s="182" t="s">
        <v>1628</v>
      </c>
      <c r="B665" s="185">
        <v>45573</v>
      </c>
      <c r="C665" s="185">
        <v>45575</v>
      </c>
      <c r="D665" s="186" t="s">
        <v>117</v>
      </c>
      <c r="E665" s="183">
        <f>Tableau3384[[#This Row],[Montant
EUR]]*Tableau3384[[#This Row],[Taux 
de change]]</f>
        <v>0</v>
      </c>
      <c r="F665" s="195">
        <v>0</v>
      </c>
      <c r="G665" s="193"/>
      <c r="H665" s="136">
        <f>Tableau3384[[#This Row],[Montant
CHF]]+Tableau3384[[#This Row],[Abzug/Spesen
CHF]]</f>
        <v>0</v>
      </c>
      <c r="I665" s="188">
        <v>1.02</v>
      </c>
      <c r="J665" s="189">
        <v>0</v>
      </c>
      <c r="K665" s="189"/>
      <c r="L665" s="298"/>
      <c r="M665" s="194"/>
      <c r="N665" s="185">
        <v>45603</v>
      </c>
      <c r="O665" s="282" t="str">
        <f>IF(Tableau3384[[#This Row],[Date du paiement]]&gt;0,"",Tableau3384[[#This Row],[Montant
CHF]])</f>
        <v/>
      </c>
      <c r="P665" s="287" t="str">
        <f>IF(Tableau3384[[#This Row],[Date du paiement]]="",$B$4-Tableau3384[[#This Row],[Écheance]],"")</f>
        <v/>
      </c>
      <c r="Q665" s="168" t="str">
        <f>IF(Tableau3384[[#This Row],[Date du paiement]]="",IF(Tableau3384[[#This Row],[jours jusqu''à l''écheance]]&gt;0,Tableau3384[[#This Row],[Montant
CHF]],""),"")</f>
        <v/>
      </c>
      <c r="R665" s="298" t="str">
        <f>IF(Tableau3384[[#This Row],[Date du paiement]]="",IF(Tableau3384[[#This Row],[jours jusqu''à l''écheance]]&gt;0,Tableau3384[[#This Row],[Montant
CHF]],""),"")</f>
        <v/>
      </c>
      <c r="S665" s="142"/>
      <c r="T665" s="168" t="str">
        <f>IF(Tableau3384[[#This Row],[Paiements prevus]]="oui",Tableau3384[[#This Row],[Montant prevu à payer CH]],"")</f>
        <v/>
      </c>
      <c r="U665" s="177"/>
      <c r="V665" s="192" t="s">
        <v>737</v>
      </c>
      <c r="W665" s="190"/>
      <c r="X665" s="187">
        <v>45573</v>
      </c>
      <c r="Y665" s="181" t="s">
        <v>502</v>
      </c>
      <c r="Z665" s="379" t="str">
        <f>IF(Tableau3384[[#This Row],[Méthode du paiement]]="Mastercard","OUI","")</f>
        <v/>
      </c>
      <c r="AA665" s="180" t="s">
        <v>14</v>
      </c>
      <c r="AB665" s="180" t="s">
        <v>1630</v>
      </c>
    </row>
    <row r="666" spans="1:28" s="184" customFormat="1" hidden="1" x14ac:dyDescent="0.25">
      <c r="A666" s="182" t="s">
        <v>1652</v>
      </c>
      <c r="B666" s="185">
        <v>45576</v>
      </c>
      <c r="C666" s="185">
        <v>45579</v>
      </c>
      <c r="D666" s="186" t="s">
        <v>196</v>
      </c>
      <c r="E666" s="183">
        <v>1219.6500000000001</v>
      </c>
      <c r="F666" s="195">
        <v>8.1</v>
      </c>
      <c r="G666" s="193"/>
      <c r="H666" s="136">
        <f>Tableau3384[[#This Row],[Montant
CHF]]+Tableau3384[[#This Row],[Abzug/Spesen
CHF]]</f>
        <v>1219.6500000000001</v>
      </c>
      <c r="I666" s="188"/>
      <c r="J666" s="189"/>
      <c r="K666" s="189"/>
      <c r="L666" s="298"/>
      <c r="M666" s="194"/>
      <c r="N666" s="185">
        <v>45586</v>
      </c>
      <c r="O666" s="282" t="str">
        <f>IF(Tableau3384[[#This Row],[Date du paiement]]&gt;0,"",Tableau3384[[#This Row],[Montant
CHF]])</f>
        <v/>
      </c>
      <c r="P666" s="287" t="str">
        <f>IF(Tableau3384[[#This Row],[Date du paiement]]="",$B$4-Tableau3384[[#This Row],[Écheance]],"")</f>
        <v/>
      </c>
      <c r="Q666" s="168" t="str">
        <f>IF(Tableau3384[[#This Row],[Date du paiement]]="",IF(Tableau3384[[#This Row],[jours jusqu''à l''écheance]]&gt;0,Tableau3384[[#This Row],[Montant
CHF]],""),"")</f>
        <v/>
      </c>
      <c r="R666" s="298" t="str">
        <f>IF(Tableau3384[[#This Row],[Date du paiement]]="",IF(Tableau3384[[#This Row],[jours jusqu''à l''écheance]]-($B$4-$B$11-1)&gt;0,Tableau3384[[#This Row],[Montant
CHF]],""),"")</f>
        <v/>
      </c>
      <c r="S666" s="142"/>
      <c r="T666" s="168" t="str">
        <f>IF(Tableau3384[[#This Row],[Paiements prevus]]="oui",Tableau3384[[#This Row],[Montant prevu à payer CH]],"")</f>
        <v/>
      </c>
      <c r="U666" s="177"/>
      <c r="V666" s="192" t="s">
        <v>735</v>
      </c>
      <c r="W666" s="190"/>
      <c r="X666" s="187">
        <v>45607</v>
      </c>
      <c r="Y666" s="181" t="s">
        <v>58</v>
      </c>
      <c r="Z666" s="379" t="str">
        <f>IF(Tableau3384[[#This Row],[Méthode du paiement]]="Mastercard","OUI","")</f>
        <v/>
      </c>
      <c r="AA666" s="180" t="s">
        <v>4</v>
      </c>
      <c r="AB666" s="180" t="s">
        <v>1653</v>
      </c>
    </row>
    <row r="667" spans="1:28" s="184" customFormat="1" hidden="1" x14ac:dyDescent="0.25">
      <c r="A667" s="182" t="s">
        <v>1627</v>
      </c>
      <c r="B667" s="185">
        <v>45573</v>
      </c>
      <c r="C667" s="185">
        <v>45575</v>
      </c>
      <c r="D667" s="186" t="s">
        <v>117</v>
      </c>
      <c r="E667" s="183">
        <f>Tableau3384[[#This Row],[Montant
EUR]]*Tableau3384[[#This Row],[Taux 
de change]]</f>
        <v>26318.938000000002</v>
      </c>
      <c r="F667" s="195">
        <v>0</v>
      </c>
      <c r="G667" s="193"/>
      <c r="H667" s="136">
        <f>Tableau3384[[#This Row],[Montant
CHF]]+Tableau3384[[#This Row],[Abzug/Spesen
CHF]]</f>
        <v>26318.938000000002</v>
      </c>
      <c r="I667" s="188">
        <v>0.94550000000000001</v>
      </c>
      <c r="J667" s="189">
        <v>27836</v>
      </c>
      <c r="K667" s="189"/>
      <c r="L667" s="298"/>
      <c r="M667" s="194"/>
      <c r="N667" s="185">
        <v>45603</v>
      </c>
      <c r="O667" s="282" t="str">
        <f>IF(Tableau3384[[#This Row],[Date du paiement]]&gt;0,"",Tableau3384[[#This Row],[Montant
CHF]])</f>
        <v/>
      </c>
      <c r="P667" s="287" t="str">
        <f>IF(Tableau3384[[#This Row],[Date du paiement]]="",$B$4-Tableau3384[[#This Row],[Écheance]],"")</f>
        <v/>
      </c>
      <c r="Q667" s="168" t="str">
        <f>IF(Tableau3384[[#This Row],[Date du paiement]]="",IF(Tableau3384[[#This Row],[jours jusqu''à l''écheance]]&gt;0,Tableau3384[[#This Row],[Montant
CHF]],""),"")</f>
        <v/>
      </c>
      <c r="R667" s="298" t="str">
        <f>IF(Tableau3384[[#This Row],[Date du paiement]]="",IF(Tableau3384[[#This Row],[jours jusqu''à l''écheance]]-($B$4-$B$11-1)&gt;0,Tableau3384[[#This Row],[Montant
CHF]],""),"")</f>
        <v/>
      </c>
      <c r="S667" s="142"/>
      <c r="T667" s="168" t="str">
        <f>IF(Tableau3384[[#This Row],[Paiements prevus]]="oui",Tableau3384[[#This Row],[Montant prevu à payer CH]],"")</f>
        <v/>
      </c>
      <c r="U667" s="177"/>
      <c r="V667" s="192" t="s">
        <v>737</v>
      </c>
      <c r="W667" s="190"/>
      <c r="X667" s="187">
        <v>45604</v>
      </c>
      <c r="Y667" s="181" t="s">
        <v>58</v>
      </c>
      <c r="Z667" s="379" t="str">
        <f>IF(Tableau3384[[#This Row],[Méthode du paiement]]="Mastercard","OUI","")</f>
        <v/>
      </c>
      <c r="AA667" s="180" t="s">
        <v>1543</v>
      </c>
      <c r="AB667" s="180" t="s">
        <v>1629</v>
      </c>
    </row>
    <row r="668" spans="1:28" s="184" customFormat="1" hidden="1" x14ac:dyDescent="0.25">
      <c r="A668" s="182" t="s">
        <v>1641</v>
      </c>
      <c r="B668" s="185">
        <v>45574</v>
      </c>
      <c r="C668" s="185">
        <v>45575</v>
      </c>
      <c r="D668" s="437" t="s">
        <v>216</v>
      </c>
      <c r="E668" s="183">
        <v>2333.35</v>
      </c>
      <c r="F668" s="195">
        <v>100</v>
      </c>
      <c r="G668" s="193"/>
      <c r="H668" s="136">
        <f>Tableau3384[[#This Row],[Montant
CHF]]+Tableau3384[[#This Row],[Abzug/Spesen
CHF]]</f>
        <v>2333.35</v>
      </c>
      <c r="I668" s="188"/>
      <c r="J668" s="189"/>
      <c r="K668" s="189"/>
      <c r="L668" s="298"/>
      <c r="M668" s="194"/>
      <c r="N668" s="185">
        <v>45635</v>
      </c>
      <c r="O668" s="282">
        <f>IF(Tableau3384[[#This Row],[Date du paiement]]&gt;0,"",Tableau3384[[#This Row],[Montant
CHF]])</f>
        <v>2333.35</v>
      </c>
      <c r="P668" s="287">
        <f ca="1">IF(Tableau3384[[#This Row],[Date du paiement]]="",$B$4-Tableau3384[[#This Row],[Écheance]],"")</f>
        <v>-17.53057465278107</v>
      </c>
      <c r="Q668" s="168" t="str">
        <f ca="1">IF(Tableau3384[[#This Row],[Date du paiement]]="",IF(Tableau3384[[#This Row],[jours jusqu''à l''écheance]]&gt;0,Tableau3384[[#This Row],[Montant
CHF]],""),"")</f>
        <v/>
      </c>
      <c r="R668" s="298" t="str">
        <f ca="1">IF(Tableau3384[[#This Row],[Date du paiement]]="",IF(Tableau3384[[#This Row],[jours jusqu''à l''écheance]]-($B$4-$B$11-1)&gt;0,Tableau3384[[#This Row],[Montant
CHF]],""),"")</f>
        <v/>
      </c>
      <c r="S668" s="142"/>
      <c r="T668" s="168" t="str">
        <f>IF(Tableau3384[[#This Row],[Paiements prevus]]="oui",Tableau3384[[#This Row],[Montant prevu à payer CH]],"")</f>
        <v/>
      </c>
      <c r="U668" s="177"/>
      <c r="V668" s="192" t="s">
        <v>736</v>
      </c>
      <c r="W668" s="190"/>
      <c r="X668" s="187"/>
      <c r="Y668" s="181"/>
      <c r="Z668" s="379" t="str">
        <f>IF(Tableau3384[[#This Row],[Méthode du paiement]]="Mastercard","OUI","")</f>
        <v/>
      </c>
      <c r="AA668" s="180" t="s">
        <v>604</v>
      </c>
      <c r="AB668" s="180" t="s">
        <v>1592</v>
      </c>
    </row>
    <row r="669" spans="1:28" s="184" customFormat="1" hidden="1" x14ac:dyDescent="0.25">
      <c r="A669" s="182" t="s">
        <v>1625</v>
      </c>
      <c r="B669" s="185">
        <v>45574</v>
      </c>
      <c r="C669" s="185">
        <v>45575</v>
      </c>
      <c r="D669" s="440" t="s">
        <v>92</v>
      </c>
      <c r="E669" s="183">
        <v>45.25</v>
      </c>
      <c r="F669" s="195">
        <v>8.1</v>
      </c>
      <c r="G669" s="193"/>
      <c r="H669" s="136">
        <f>Tableau3384[[#This Row],[Montant
CHF]]+Tableau3384[[#This Row],[Abzug/Spesen
CHF]]</f>
        <v>45.25</v>
      </c>
      <c r="I669" s="188"/>
      <c r="J669" s="189"/>
      <c r="K669" s="189"/>
      <c r="L669" s="298"/>
      <c r="M669" s="194"/>
      <c r="N669" s="185">
        <v>45584</v>
      </c>
      <c r="O669" s="282" t="str">
        <f>IF(Tableau3384[[#This Row],[Date du paiement]]&gt;0,"",Tableau3384[[#This Row],[Montant
CHF]])</f>
        <v/>
      </c>
      <c r="P669" s="287" t="str">
        <f>IF(Tableau3384[[#This Row],[Date du paiement]]="",$B$4-Tableau3384[[#This Row],[Écheance]],"")</f>
        <v/>
      </c>
      <c r="Q669" s="168" t="str">
        <f>IF(Tableau3384[[#This Row],[Date du paiement]]="",IF(Tableau3384[[#This Row],[jours jusqu''à l''écheance]]&gt;0,Tableau3384[[#This Row],[Montant
CHF]],""),"")</f>
        <v/>
      </c>
      <c r="R669" s="298" t="str">
        <f>IF(Tableau3384[[#This Row],[Date du paiement]]="",IF(Tableau3384[[#This Row],[jours jusqu''à l''écheance]]-($B$4-$B$11-1)&gt;0,Tableau3384[[#This Row],[Montant
CHF]],""),"")</f>
        <v/>
      </c>
      <c r="S669" s="142"/>
      <c r="T669" s="168" t="str">
        <f>IF(Tableau3384[[#This Row],[Paiements prevus]]="oui",Tableau3384[[#This Row],[Montant prevu à payer CH]],"")</f>
        <v/>
      </c>
      <c r="U669" s="177"/>
      <c r="V669" s="192" t="s">
        <v>738</v>
      </c>
      <c r="W669" s="190"/>
      <c r="X669" s="187">
        <v>45604</v>
      </c>
      <c r="Y669" s="181" t="s">
        <v>58</v>
      </c>
      <c r="Z669" s="379" t="str">
        <f>IF(Tableau3384[[#This Row],[Méthode du paiement]]="Mastercard","OUI","")</f>
        <v/>
      </c>
      <c r="AA669" s="180" t="s">
        <v>14</v>
      </c>
      <c r="AB669" s="180" t="s">
        <v>1626</v>
      </c>
    </row>
    <row r="670" spans="1:28" s="184" customFormat="1" hidden="1" x14ac:dyDescent="0.25">
      <c r="A670" s="182" t="s">
        <v>1702</v>
      </c>
      <c r="B670" s="185">
        <v>45580</v>
      </c>
      <c r="C670" s="185">
        <v>45593</v>
      </c>
      <c r="D670" s="440" t="s">
        <v>1707</v>
      </c>
      <c r="E670" s="183">
        <v>19.95</v>
      </c>
      <c r="F670" s="195">
        <v>8.1</v>
      </c>
      <c r="G670" s="193"/>
      <c r="H670" s="136">
        <f>Tableau3384[[#This Row],[Montant
CHF]]+Tableau3384[[#This Row],[Abzug/Spesen
CHF]]</f>
        <v>19.95</v>
      </c>
      <c r="I670" s="188"/>
      <c r="J670" s="189"/>
      <c r="K670" s="189"/>
      <c r="L670" s="298"/>
      <c r="M670" s="194"/>
      <c r="N670" s="185">
        <v>45611</v>
      </c>
      <c r="O670" s="282" t="str">
        <f>IF(Tableau3384[[#This Row],[Date du paiement]]&gt;0,"",Tableau3384[[#This Row],[Montant
CHF]])</f>
        <v/>
      </c>
      <c r="P670" s="287" t="str">
        <f>IF(Tableau3384[[#This Row],[Date du paiement]]="",$B$4-Tableau3384[[#This Row],[Écheance]],"")</f>
        <v/>
      </c>
      <c r="Q670" s="168" t="str">
        <f>IF(Tableau3384[[#This Row],[Date du paiement]]="",IF(Tableau3384[[#This Row],[jours jusqu''à l''écheance]]&gt;0,Tableau3384[[#This Row],[Montant
CHF]],""),"")</f>
        <v/>
      </c>
      <c r="R670" s="298" t="str">
        <f>IF(Tableau3384[[#This Row],[Date du paiement]]="",IF(Tableau3384[[#This Row],[jours jusqu''à l''écheance]]-($B$4-$B$11-1)&gt;0,Tableau3384[[#This Row],[Montant
CHF]],""),"")</f>
        <v/>
      </c>
      <c r="S670" s="142"/>
      <c r="T670" s="168" t="str">
        <f>IF(Tableau3384[[#This Row],[Paiements prevus]]="oui",Tableau3384[[#This Row],[Montant prevu à payer CH]],"")</f>
        <v/>
      </c>
      <c r="U670" s="177"/>
      <c r="V670" s="192" t="s">
        <v>735</v>
      </c>
      <c r="W670" s="190"/>
      <c r="X670" s="187">
        <v>45611</v>
      </c>
      <c r="Y670" s="181" t="s">
        <v>58</v>
      </c>
      <c r="Z670" s="379" t="str">
        <f>IF(Tableau3384[[#This Row],[Méthode du paiement]]="Mastercard","OUI","")</f>
        <v/>
      </c>
      <c r="AA670" s="180" t="s">
        <v>30</v>
      </c>
      <c r="AB670" s="180" t="s">
        <v>1725</v>
      </c>
    </row>
    <row r="671" spans="1:28" s="184" customFormat="1" hidden="1" x14ac:dyDescent="0.25">
      <c r="A671" s="182" t="s">
        <v>1635</v>
      </c>
      <c r="B671" s="185">
        <v>45576</v>
      </c>
      <c r="C671" s="185">
        <v>45579</v>
      </c>
      <c r="D671" s="186" t="s">
        <v>22</v>
      </c>
      <c r="E671" s="183">
        <v>1891.75</v>
      </c>
      <c r="F671" s="195">
        <v>8.1</v>
      </c>
      <c r="G671" s="193">
        <v>-37.83</v>
      </c>
      <c r="H671" s="136">
        <f>Tableau3384[[#This Row],[Montant
CHF]]+Tableau3384[[#This Row],[Abzug/Spesen
CHF]]</f>
        <v>1853.92</v>
      </c>
      <c r="I671" s="188"/>
      <c r="J671" s="189"/>
      <c r="K671" s="189"/>
      <c r="L671" s="298"/>
      <c r="M671" s="194"/>
      <c r="N671" s="185">
        <v>45586</v>
      </c>
      <c r="O671" s="282" t="str">
        <f>IF(Tableau3384[[#This Row],[Date du paiement]]&gt;0,"",Tableau3384[[#This Row],[Montant
CHF]])</f>
        <v/>
      </c>
      <c r="P671" s="287" t="str">
        <f>IF(Tableau3384[[#This Row],[Date du paiement]]="",$B$4-Tableau3384[[#This Row],[Écheance]],"")</f>
        <v/>
      </c>
      <c r="Q671" s="168" t="str">
        <f>IF(Tableau3384[[#This Row],[Date du paiement]]="",IF(Tableau3384[[#This Row],[jours jusqu''à l''écheance]]&gt;0,Tableau3384[[#This Row],[Montant
CHF]],""),"")</f>
        <v/>
      </c>
      <c r="R671" s="298" t="str">
        <f>IF(Tableau3384[[#This Row],[Date du paiement]]="",IF(Tableau3384[[#This Row],[jours jusqu''à l''écheance]]-($B$4-$B$11-1)&gt;0,Tableau3384[[#This Row],[Montant
CHF]],""),"")</f>
        <v/>
      </c>
      <c r="S671" s="142"/>
      <c r="T671" s="168" t="str">
        <f>IF(Tableau3384[[#This Row],[Paiements prevus]]="oui",Tableau3384[[#This Row],[Montant prevu à payer CH]],"")</f>
        <v/>
      </c>
      <c r="U671" s="177"/>
      <c r="V671" s="192" t="s">
        <v>738</v>
      </c>
      <c r="W671" s="190"/>
      <c r="X671" s="187">
        <v>45586</v>
      </c>
      <c r="Y671" s="181" t="s">
        <v>58</v>
      </c>
      <c r="Z671" s="379" t="str">
        <f>IF(Tableau3384[[#This Row],[Méthode du paiement]]="Mastercard","OUI","")</f>
        <v/>
      </c>
      <c r="AA671" s="180" t="s">
        <v>14</v>
      </c>
      <c r="AB671" s="180" t="s">
        <v>1636</v>
      </c>
    </row>
    <row r="672" spans="1:28" s="184" customFormat="1" hidden="1" x14ac:dyDescent="0.25">
      <c r="A672" s="182" t="s">
        <v>1759</v>
      </c>
      <c r="B672" s="185">
        <v>45601</v>
      </c>
      <c r="C672" s="185">
        <v>45602</v>
      </c>
      <c r="D672" s="440" t="s">
        <v>22</v>
      </c>
      <c r="E672" s="183">
        <v>532.95000000000005</v>
      </c>
      <c r="F672" s="195">
        <v>8.1</v>
      </c>
      <c r="G672" s="193">
        <v>-10.66</v>
      </c>
      <c r="H672" s="136">
        <f>Tableau3384[[#This Row],[Montant
CHF]]+Tableau3384[[#This Row],[Abzug/Spesen
CHF]]</f>
        <v>522.29000000000008</v>
      </c>
      <c r="I672" s="188"/>
      <c r="J672" s="189"/>
      <c r="K672" s="189"/>
      <c r="L672" s="298"/>
      <c r="M672" s="194"/>
      <c r="N672" s="185">
        <v>45611</v>
      </c>
      <c r="O672" s="282" t="str">
        <f>IF(Tableau3384[[#This Row],[Date du paiement]]&gt;0,"",Tableau3384[[#This Row],[Montant
CHF]])</f>
        <v/>
      </c>
      <c r="P672" s="287" t="str">
        <f>IF(Tableau3384[[#This Row],[Date du paiement]]="",$B$4-Tableau3384[[#This Row],[Écheance]],"")</f>
        <v/>
      </c>
      <c r="Q672" s="168" t="str">
        <f>IF(Tableau3384[[#This Row],[Date du paiement]]="",IF(Tableau3384[[#This Row],[jours jusqu''à l''écheance]]&gt;0,Tableau3384[[#This Row],[Montant
CHF]],""),"")</f>
        <v/>
      </c>
      <c r="R672" s="298" t="str">
        <f>IF(Tableau3384[[#This Row],[Date du paiement]]="",IF(Tableau3384[[#This Row],[jours jusqu''à l''écheance]]-($B$4-$B$11-1)&gt;0,Tableau3384[[#This Row],[Montant
CHF]],""),"")</f>
        <v/>
      </c>
      <c r="S672" s="142"/>
      <c r="T672" s="168" t="str">
        <f>IF(Tableau3384[[#This Row],[Paiements prevus]]="oui",Tableau3384[[#This Row],[Montant prevu à payer CH]],"")</f>
        <v/>
      </c>
      <c r="U672" s="177"/>
      <c r="V672" s="192" t="s">
        <v>738</v>
      </c>
      <c r="W672" s="190"/>
      <c r="X672" s="187">
        <v>45611</v>
      </c>
      <c r="Y672" s="181" t="s">
        <v>58</v>
      </c>
      <c r="Z672" s="379" t="str">
        <f>IF(Tableau3384[[#This Row],[Méthode du paiement]]="Mastercard","OUI","")</f>
        <v/>
      </c>
      <c r="AA672" s="180" t="s">
        <v>14</v>
      </c>
      <c r="AB672" s="180" t="s">
        <v>1760</v>
      </c>
    </row>
    <row r="673" spans="1:28" s="184" customFormat="1" hidden="1" x14ac:dyDescent="0.25">
      <c r="A673" s="182" t="s">
        <v>1646</v>
      </c>
      <c r="B673" s="185">
        <v>45576</v>
      </c>
      <c r="C673" s="185">
        <v>45576</v>
      </c>
      <c r="D673" s="186" t="s">
        <v>253</v>
      </c>
      <c r="E673" s="183">
        <f>Tableau3384[[#This Row],[Montant
EUR]]*Tableau3384[[#This Row],[Taux 
de change]]</f>
        <v>5734.5241215000005</v>
      </c>
      <c r="F673" s="195">
        <v>0</v>
      </c>
      <c r="G673" s="193">
        <f>-Tableau3384[[#This Row],[Montant
CHF]]*0.01</f>
        <v>-57.345241215000009</v>
      </c>
      <c r="H673" s="136">
        <f>Tableau3384[[#This Row],[Montant
CHF]]+Tableau3384[[#This Row],[Abzug/Spesen
CHF]]</f>
        <v>5677.1788802850006</v>
      </c>
      <c r="I673" s="188">
        <v>0.94067500000000004</v>
      </c>
      <c r="J673" s="189">
        <v>6096.18</v>
      </c>
      <c r="K673" s="189"/>
      <c r="L673" s="298"/>
      <c r="M673" s="194"/>
      <c r="N673" s="185">
        <v>45567</v>
      </c>
      <c r="O673" s="282" t="str">
        <f>IF(Tableau3384[[#This Row],[Date du paiement]]&gt;0,"",Tableau3384[[#This Row],[Montant
CHF]])</f>
        <v/>
      </c>
      <c r="P673" s="287" t="str">
        <f>IF(Tableau3384[[#This Row],[Date du paiement]]="",$B$4-Tableau3384[[#This Row],[Écheance]],"")</f>
        <v/>
      </c>
      <c r="Q673" s="168" t="str">
        <f>IF(Tableau3384[[#This Row],[Date du paiement]]="",IF(Tableau3384[[#This Row],[jours jusqu''à l''écheance]]&gt;0,Tableau3384[[#This Row],[Montant
CHF]],""),"")</f>
        <v/>
      </c>
      <c r="R673" s="298" t="str">
        <f>IF(Tableau3384[[#This Row],[Date du paiement]]="",IF(Tableau3384[[#This Row],[jours jusqu''à l''écheance]]-($B$4-$B$11-1)&gt;0,Tableau3384[[#This Row],[Montant
CHF]],""),"")</f>
        <v/>
      </c>
      <c r="S673" s="142"/>
      <c r="T673" s="168" t="str">
        <f>IF(Tableau3384[[#This Row],[Paiements prevus]]="oui",Tableau3384[[#This Row],[Montant prevu à payer CH]],"")</f>
        <v/>
      </c>
      <c r="U673" s="177"/>
      <c r="V673" s="192" t="s">
        <v>737</v>
      </c>
      <c r="W673" s="190"/>
      <c r="X673" s="187">
        <v>45567</v>
      </c>
      <c r="Y673" s="181" t="s">
        <v>58</v>
      </c>
      <c r="Z673" s="379" t="str">
        <f>IF(Tableau3384[[#This Row],[Méthode du paiement]]="Mastercard","OUI","")</f>
        <v/>
      </c>
      <c r="AA673" s="180" t="s">
        <v>14</v>
      </c>
      <c r="AB673" s="180" t="s">
        <v>1648</v>
      </c>
    </row>
    <row r="674" spans="1:28" s="184" customFormat="1" hidden="1" x14ac:dyDescent="0.25">
      <c r="A674" s="182" t="s">
        <v>1647</v>
      </c>
      <c r="B674" s="185">
        <v>45576</v>
      </c>
      <c r="C674" s="185">
        <v>45576</v>
      </c>
      <c r="D674" s="186" t="s">
        <v>253</v>
      </c>
      <c r="E674" s="183">
        <f>Tableau3384[[#This Row],[Montant
EUR]]*Tableau3384[[#This Row],[Taux 
de change]]</f>
        <v>298.755363536</v>
      </c>
      <c r="F674" s="195">
        <v>0</v>
      </c>
      <c r="G674" s="193">
        <f>-Tableau3384[[#This Row],[Montant
CHF]]*0.01</f>
        <v>-2.9875536353600003</v>
      </c>
      <c r="H674" s="136">
        <f>Tableau3384[[#This Row],[Montant
CHF]]+Tableau3384[[#This Row],[Abzug/Spesen
CHF]]</f>
        <v>295.76780990064003</v>
      </c>
      <c r="I674" s="188">
        <v>0.94194080000000002</v>
      </c>
      <c r="J674" s="189">
        <v>317.17</v>
      </c>
      <c r="K674" s="189"/>
      <c r="L674" s="298"/>
      <c r="M674" s="194"/>
      <c r="N674" s="185">
        <v>45576</v>
      </c>
      <c r="O674" s="282" t="str">
        <f>IF(Tableau3384[[#This Row],[Date du paiement]]&gt;0,"",Tableau3384[[#This Row],[Montant
CHF]])</f>
        <v/>
      </c>
      <c r="P674" s="287" t="str">
        <f>IF(Tableau3384[[#This Row],[Date du paiement]]="",$B$4-Tableau3384[[#This Row],[Écheance]],"")</f>
        <v/>
      </c>
      <c r="Q674" s="168" t="str">
        <f>IF(Tableau3384[[#This Row],[Date du paiement]]="",IF(Tableau3384[[#This Row],[jours jusqu''à l''écheance]]&gt;0,Tableau3384[[#This Row],[Montant
CHF]],""),"")</f>
        <v/>
      </c>
      <c r="R674" s="298" t="str">
        <f>IF(Tableau3384[[#This Row],[Date du paiement]]="",IF(Tableau3384[[#This Row],[jours jusqu''à l''écheance]]-($B$4-$B$11-1)&gt;0,Tableau3384[[#This Row],[Montant
CHF]],""),"")</f>
        <v/>
      </c>
      <c r="S674" s="142"/>
      <c r="T674" s="168" t="str">
        <f>IF(Tableau3384[[#This Row],[Paiements prevus]]="oui",Tableau3384[[#This Row],[Montant prevu à payer CH]],"")</f>
        <v/>
      </c>
      <c r="U674" s="177"/>
      <c r="V674" s="192" t="s">
        <v>737</v>
      </c>
      <c r="W674" s="190"/>
      <c r="X674" s="187">
        <v>45576</v>
      </c>
      <c r="Y674" s="181" t="s">
        <v>58</v>
      </c>
      <c r="Z674" s="379" t="str">
        <f>IF(Tableau3384[[#This Row],[Méthode du paiement]]="Mastercard","OUI","")</f>
        <v/>
      </c>
      <c r="AA674" s="180" t="s">
        <v>14</v>
      </c>
      <c r="AB674" s="180" t="s">
        <v>1649</v>
      </c>
    </row>
    <row r="675" spans="1:28" s="184" customFormat="1" hidden="1" x14ac:dyDescent="0.25">
      <c r="A675" s="182" t="s">
        <v>1519</v>
      </c>
      <c r="B675" s="185">
        <v>45545</v>
      </c>
      <c r="C675" s="185">
        <v>45548</v>
      </c>
      <c r="D675" s="186" t="s">
        <v>13</v>
      </c>
      <c r="E675" s="183">
        <f>Tableau3384[[#This Row],[Montant
EUR]]*Tableau3384[[#This Row],[Taux 
de change]]</f>
        <v>30027.170827499998</v>
      </c>
      <c r="F675" s="195">
        <v>0</v>
      </c>
      <c r="G675" s="193"/>
      <c r="H675" s="136">
        <f>Tableau3384[[#This Row],[Montant
CHF]]+Tableau3384[[#This Row],[Abzug/Spesen
CHF]]</f>
        <v>30027.170827499998</v>
      </c>
      <c r="I675" s="188">
        <v>0.93967049999999996</v>
      </c>
      <c r="J675" s="189">
        <v>31955</v>
      </c>
      <c r="K675" s="189"/>
      <c r="L675" s="298"/>
      <c r="M675" s="194"/>
      <c r="N675" s="185">
        <v>45606</v>
      </c>
      <c r="O675" s="282" t="str">
        <f>IF(Tableau3384[[#This Row],[Date du paiement]]&gt;0,"",Tableau3384[[#This Row],[Montant
CHF]])</f>
        <v/>
      </c>
      <c r="P675" s="287" t="str">
        <f>IF(Tableau3384[[#This Row],[Date du paiement]]="",$B$4-Tableau3384[[#This Row],[Écheance]],"")</f>
        <v/>
      </c>
      <c r="Q675" s="168" t="str">
        <f>IF(Tableau3384[[#This Row],[Date du paiement]]="",IF(Tableau3384[[#This Row],[jours jusqu''à l''écheance]]&gt;0,Tableau3384[[#This Row],[Montant
CHF]],""),"")</f>
        <v/>
      </c>
      <c r="R675" s="298" t="str">
        <f>IF(Tableau3384[[#This Row],[Date du paiement]]="",IF(Tableau3384[[#This Row],[jours jusqu''à l''écheance]]-($B$4-$B$11-1)&gt;0,Tableau3384[[#This Row],[Montant
CHF]],""),"")</f>
        <v/>
      </c>
      <c r="S675" s="142"/>
      <c r="T675" s="168" t="str">
        <f>IF(Tableau3384[[#This Row],[Paiements prevus]]="oui",Tableau3384[[#This Row],[Montant prevu à payer CH]],"")</f>
        <v/>
      </c>
      <c r="U675" s="177"/>
      <c r="V675" s="192" t="s">
        <v>737</v>
      </c>
      <c r="W675" s="480"/>
      <c r="X675" s="187">
        <v>45614</v>
      </c>
      <c r="Y675" s="181" t="s">
        <v>58</v>
      </c>
      <c r="Z675" s="379" t="str">
        <f>IF(Tableau3384[[#This Row],[Méthode du paiement]]="Mastercard","OUI","")</f>
        <v/>
      </c>
      <c r="AA675" s="180" t="s">
        <v>14</v>
      </c>
      <c r="AB675" s="180" t="s">
        <v>1508</v>
      </c>
    </row>
    <row r="676" spans="1:28" s="184" customFormat="1" hidden="1" x14ac:dyDescent="0.25">
      <c r="A676" s="182" t="s">
        <v>1719</v>
      </c>
      <c r="B676" s="185">
        <v>45576</v>
      </c>
      <c r="C676" s="185">
        <v>45583</v>
      </c>
      <c r="D676" s="186" t="s">
        <v>1678</v>
      </c>
      <c r="E676" s="183">
        <f>Tableau3384[[#This Row],[Montant
EUR]]*Tableau3384[[#This Row],[Taux 
de change]]</f>
        <v>4423.47703</v>
      </c>
      <c r="F676" s="195">
        <v>0</v>
      </c>
      <c r="G676" s="193"/>
      <c r="H676" s="136">
        <f>Tableau3384[[#This Row],[Montant
CHF]]+Tableau3384[[#This Row],[Abzug/Spesen
CHF]]</f>
        <v>4423.47703</v>
      </c>
      <c r="I676" s="188">
        <v>0.94076499999999996</v>
      </c>
      <c r="J676" s="189">
        <v>4702</v>
      </c>
      <c r="K676" s="189"/>
      <c r="L676" s="298"/>
      <c r="M676" s="194"/>
      <c r="N676" s="185">
        <v>45576</v>
      </c>
      <c r="O676" s="282" t="str">
        <f>IF(Tableau3384[[#This Row],[Date du paiement]]&gt;0,"",Tableau3384[[#This Row],[Montant
CHF]])</f>
        <v/>
      </c>
      <c r="P676" s="287" t="str">
        <f>IF(Tableau3384[[#This Row],[Date du paiement]]="",$B$4-Tableau3384[[#This Row],[Écheance]],"")</f>
        <v/>
      </c>
      <c r="Q676" s="168" t="str">
        <f>IF(Tableau3384[[#This Row],[Date du paiement]]="",IF(Tableau3384[[#This Row],[jours jusqu''à l''écheance]]&gt;0,Tableau3384[[#This Row],[Montant
CHF]],""),"")</f>
        <v/>
      </c>
      <c r="R676" s="298" t="str">
        <f>IF(Tableau3384[[#This Row],[Date du paiement]]="",IF(Tableau3384[[#This Row],[jours jusqu''à l''écheance]]&gt;0,Tableau3384[[#This Row],[Montant
CHF]],""),"")</f>
        <v/>
      </c>
      <c r="S676" s="142"/>
      <c r="T676" s="168" t="str">
        <f>IF(Tableau3384[[#This Row],[Paiements prevus]]="oui",Tableau3384[[#This Row],[Montant prevu à payer CH]],"")</f>
        <v/>
      </c>
      <c r="U676" s="177"/>
      <c r="V676" s="192" t="s">
        <v>737</v>
      </c>
      <c r="W676" s="190"/>
      <c r="X676" s="187">
        <v>45576</v>
      </c>
      <c r="Y676" s="181" t="s">
        <v>58</v>
      </c>
      <c r="Z676" s="379" t="str">
        <f>IF(Tableau3384[[#This Row],[Méthode du paiement]]="Mastercard","OUI","")</f>
        <v/>
      </c>
      <c r="AA676" s="180" t="s">
        <v>14</v>
      </c>
      <c r="AB676" s="180" t="s">
        <v>1720</v>
      </c>
    </row>
    <row r="677" spans="1:28" s="184" customFormat="1" hidden="1" x14ac:dyDescent="0.25">
      <c r="A677" s="182" t="s">
        <v>1358</v>
      </c>
      <c r="B677" s="185">
        <v>45518</v>
      </c>
      <c r="C677" s="185">
        <v>45524</v>
      </c>
      <c r="D677" s="186" t="s">
        <v>60</v>
      </c>
      <c r="E677" s="478">
        <f>Tableau3384[[#This Row],[Montant
EUR]]*Tableau3384[[#This Row],[Taux 
de change]]</f>
        <v>-33.705381600000003</v>
      </c>
      <c r="F677" s="195">
        <v>0</v>
      </c>
      <c r="G677" s="193"/>
      <c r="H677" s="136">
        <f>Tableau3384[[#This Row],[Montant
CHF]]+Tableau3384[[#This Row],[Abzug/Spesen
CHF]]</f>
        <v>-33.705381600000003</v>
      </c>
      <c r="I677" s="188">
        <v>0.9362606</v>
      </c>
      <c r="J677" s="189">
        <v>-36</v>
      </c>
      <c r="K677" s="189"/>
      <c r="L677" s="298"/>
      <c r="M677" s="194" t="s">
        <v>1359</v>
      </c>
      <c r="N677" s="185">
        <v>45518</v>
      </c>
      <c r="O677" s="282" t="str">
        <f>IF(Tableau3384[[#This Row],[Date du paiement]]&gt;0,"",Tableau3384[[#This Row],[Montant
CHF]])</f>
        <v/>
      </c>
      <c r="P677" s="287" t="str">
        <f>IF(Tableau3384[[#This Row],[Date du paiement]]="",$B$4-Tableau3384[[#This Row],[Écheance]],"")</f>
        <v/>
      </c>
      <c r="Q677" s="168" t="str">
        <f>IF(Tableau3384[[#This Row],[Date du paiement]]="",IF(Tableau3384[[#This Row],[jours jusqu''à l''écheance]]&gt;0,Tableau3384[[#This Row],[Montant
CHF]],""),"")</f>
        <v/>
      </c>
      <c r="R677" s="298" t="str">
        <f>IF(Tableau3384[[#This Row],[Date du paiement]]="",IF(Tableau3384[[#This Row],[jours jusqu''à l''écheance]]-($B$4-$B$11-1)&gt;0,Tableau3384[[#This Row],[Montant
CHF]],""),"")</f>
        <v/>
      </c>
      <c r="S677" s="142"/>
      <c r="T677" s="168" t="str">
        <f>IF(Tableau3384[[#This Row],[Paiements prevus]]="oui",Tableau3384[[#This Row],[Montant prevu à payer CH]],"")</f>
        <v/>
      </c>
      <c r="U677" s="177"/>
      <c r="V677" s="192" t="s">
        <v>737</v>
      </c>
      <c r="W677" s="190"/>
      <c r="X677" s="187">
        <v>45615</v>
      </c>
      <c r="Y677" s="181" t="s">
        <v>58</v>
      </c>
      <c r="Z677" s="447" t="str">
        <f>IF(Tableau3384[[#This Row],[Méthode du paiement]]="Mastercard","OUI","")</f>
        <v/>
      </c>
      <c r="AA677" s="180" t="s">
        <v>14</v>
      </c>
      <c r="AB677" s="180" t="s">
        <v>818</v>
      </c>
    </row>
    <row r="678" spans="1:28" s="184" customFormat="1" hidden="1" x14ac:dyDescent="0.25">
      <c r="A678" s="182" t="s">
        <v>1642</v>
      </c>
      <c r="B678" s="185">
        <v>45581</v>
      </c>
      <c r="C678" s="185">
        <v>45581</v>
      </c>
      <c r="D678" s="186" t="s">
        <v>22</v>
      </c>
      <c r="E678" s="183">
        <v>2089.5500000000002</v>
      </c>
      <c r="F678" s="195">
        <v>8.1</v>
      </c>
      <c r="G678" s="193">
        <v>-41.79</v>
      </c>
      <c r="H678" s="136">
        <f>Tableau3384[[#This Row],[Montant
CHF]]+Tableau3384[[#This Row],[Abzug/Spesen
CHF]]</f>
        <v>2047.7600000000002</v>
      </c>
      <c r="I678" s="188"/>
      <c r="J678" s="189"/>
      <c r="K678" s="189"/>
      <c r="L678" s="298"/>
      <c r="M678" s="194"/>
      <c r="N678" s="185">
        <v>45591</v>
      </c>
      <c r="O678" s="282" t="str">
        <f>IF(Tableau3384[[#This Row],[Date du paiement]]&gt;0,"",Tableau3384[[#This Row],[Montant
CHF]])</f>
        <v/>
      </c>
      <c r="P678" s="287" t="str">
        <f>IF(Tableau3384[[#This Row],[Date du paiement]]="",$B$4-Tableau3384[[#This Row],[Écheance]],"")</f>
        <v/>
      </c>
      <c r="Q678" s="168" t="str">
        <f>IF(Tableau3384[[#This Row],[Date du paiement]]="",IF(Tableau3384[[#This Row],[jours jusqu''à l''écheance]]&gt;0,Tableau3384[[#This Row],[Montant
CHF]],""),"")</f>
        <v/>
      </c>
      <c r="R678" s="298" t="str">
        <f>IF(Tableau3384[[#This Row],[Date du paiement]]="",IF(Tableau3384[[#This Row],[jours jusqu''à l''écheance]]-($B$4-$B$11-1)&gt;0,Tableau3384[[#This Row],[Montant
CHF]],""),"")</f>
        <v/>
      </c>
      <c r="S678" s="142"/>
      <c r="T678" s="168" t="str">
        <f>IF(Tableau3384[[#This Row],[Paiements prevus]]="oui",Tableau3384[[#This Row],[Montant prevu à payer CH]],"")</f>
        <v/>
      </c>
      <c r="U678" s="177"/>
      <c r="V678" s="192" t="s">
        <v>738</v>
      </c>
      <c r="W678" s="190"/>
      <c r="X678" s="187">
        <v>45593</v>
      </c>
      <c r="Y678" s="181" t="s">
        <v>58</v>
      </c>
      <c r="Z678" s="379" t="str">
        <f>IF(Tableau3384[[#This Row],[Méthode du paiement]]="Mastercard","OUI","")</f>
        <v/>
      </c>
      <c r="AA678" s="180" t="s">
        <v>14</v>
      </c>
      <c r="AB678" s="180" t="s">
        <v>1643</v>
      </c>
    </row>
    <row r="679" spans="1:28" s="184" customFormat="1" hidden="1" x14ac:dyDescent="0.25">
      <c r="A679" s="182" t="s">
        <v>1546</v>
      </c>
      <c r="B679" s="185">
        <v>45551</v>
      </c>
      <c r="C679" s="185">
        <v>45558</v>
      </c>
      <c r="D679" s="186" t="s">
        <v>216</v>
      </c>
      <c r="E679" s="438">
        <v>120.3</v>
      </c>
      <c r="F679" s="195">
        <v>100</v>
      </c>
      <c r="G679" s="193"/>
      <c r="H679" s="136">
        <f>Tableau3384[[#This Row],[Montant
CHF]]+Tableau3384[[#This Row],[Abzug/Spesen
CHF]]</f>
        <v>120.3</v>
      </c>
      <c r="I679" s="188"/>
      <c r="J679" s="189"/>
      <c r="K679" s="189"/>
      <c r="L679" s="298"/>
      <c r="M679" s="194"/>
      <c r="N679" s="185">
        <v>45611</v>
      </c>
      <c r="O679" s="282" t="str">
        <f>IF(Tableau3384[[#This Row],[Date du paiement]]&gt;0,"",Tableau3384[[#This Row],[Montant
CHF]])</f>
        <v/>
      </c>
      <c r="P679" s="287" t="str">
        <f>IF(Tableau3384[[#This Row],[Date du paiement]]="",$B$4-Tableau3384[[#This Row],[Écheance]],"")</f>
        <v/>
      </c>
      <c r="Q679" s="168" t="str">
        <f>IF(Tableau3384[[#This Row],[Date du paiement]]="",IF(Tableau3384[[#This Row],[jours jusqu''à l''écheance]]&gt;0,Tableau3384[[#This Row],[Montant
CHF]],""),"")</f>
        <v/>
      </c>
      <c r="R679" s="298" t="str">
        <f>IF(Tableau3384[[#This Row],[Date du paiement]]="",IF(Tableau3384[[#This Row],[jours jusqu''à l''écheance]]-($B$4-$B$11-1)&gt;0,Tableau3384[[#This Row],[Montant
CHF]],""),"")</f>
        <v/>
      </c>
      <c r="S679" s="142"/>
      <c r="T679" s="168" t="str">
        <f>IF(Tableau3384[[#This Row],[Paiements prevus]]="oui",Tableau3384[[#This Row],[Montant prevu à payer CH]],"")</f>
        <v/>
      </c>
      <c r="U679" s="177"/>
      <c r="V679" s="192" t="s">
        <v>736</v>
      </c>
      <c r="W679" s="190"/>
      <c r="X679" s="187">
        <v>45615</v>
      </c>
      <c r="Y679" s="181" t="s">
        <v>58</v>
      </c>
      <c r="Z679" s="379" t="str">
        <f>IF(Tableau3384[[#This Row],[Méthode du paiement]]="Mastercard","OUI","")</f>
        <v/>
      </c>
      <c r="AA679" s="435" t="s">
        <v>604</v>
      </c>
      <c r="AB679" s="180" t="s">
        <v>1565</v>
      </c>
    </row>
    <row r="680" spans="1:28" s="184" customFormat="1" hidden="1" x14ac:dyDescent="0.25">
      <c r="A680" s="182" t="s">
        <v>1657</v>
      </c>
      <c r="B680" s="185">
        <v>45582</v>
      </c>
      <c r="C680" s="185">
        <v>45582</v>
      </c>
      <c r="D680" s="186" t="s">
        <v>362</v>
      </c>
      <c r="E680" s="438">
        <v>328.05</v>
      </c>
      <c r="F680" s="195">
        <v>3.8</v>
      </c>
      <c r="G680" s="193"/>
      <c r="H680" s="136">
        <f>Tableau3384[[#This Row],[Montant
CHF]]+Tableau3384[[#This Row],[Abzug/Spesen
CHF]]</f>
        <v>328.05</v>
      </c>
      <c r="I680" s="188"/>
      <c r="J680" s="189"/>
      <c r="K680" s="189"/>
      <c r="L680" s="298"/>
      <c r="M680" s="194"/>
      <c r="N680" s="185">
        <v>45582</v>
      </c>
      <c r="O680" s="282" t="str">
        <f>IF(Tableau3384[[#This Row],[Date du paiement]]&gt;0,"",Tableau3384[[#This Row],[Montant
CHF]])</f>
        <v/>
      </c>
      <c r="P680" s="287" t="str">
        <f>IF(Tableau3384[[#This Row],[Date du paiement]]="",$B$4-Tableau3384[[#This Row],[Écheance]],"")</f>
        <v/>
      </c>
      <c r="Q680" s="168" t="str">
        <f>IF(Tableau3384[[#This Row],[Date du paiement]]="",IF(Tableau3384[[#This Row],[jours jusqu''à l''écheance]]&gt;0,Tableau3384[[#This Row],[Montant
CHF]],""),"")</f>
        <v/>
      </c>
      <c r="R680" s="298" t="str">
        <f>IF(Tableau3384[[#This Row],[Date du paiement]]="",IF(Tableau3384[[#This Row],[jours jusqu''à l''écheance]]-($B$4-$B$11-1)&gt;0,Tableau3384[[#This Row],[Montant
CHF]],""),"")</f>
        <v/>
      </c>
      <c r="S680" s="142"/>
      <c r="T680" s="168" t="str">
        <f>IF(Tableau3384[[#This Row],[Paiements prevus]]="oui",Tableau3384[[#This Row],[Montant prevu à payer CH]],"")</f>
        <v/>
      </c>
      <c r="U680" s="177"/>
      <c r="V680" s="192" t="s">
        <v>735</v>
      </c>
      <c r="W680" s="190"/>
      <c r="X680" s="187">
        <v>45590</v>
      </c>
      <c r="Y680" s="181" t="s">
        <v>58</v>
      </c>
      <c r="Z680" s="379" t="str">
        <f>IF(Tableau3384[[#This Row],[Méthode du paiement]]="Mastercard","OUI","")</f>
        <v/>
      </c>
      <c r="AA680" s="180" t="s">
        <v>1201</v>
      </c>
      <c r="AB680" s="180" t="s">
        <v>1658</v>
      </c>
    </row>
    <row r="681" spans="1:28" s="184" customFormat="1" hidden="1" x14ac:dyDescent="0.25">
      <c r="A681" s="182" t="s">
        <v>1520</v>
      </c>
      <c r="B681" s="185">
        <v>45552</v>
      </c>
      <c r="C681" s="185">
        <v>45554</v>
      </c>
      <c r="D681" s="186" t="s">
        <v>13</v>
      </c>
      <c r="E681" s="438">
        <f>Tableau3384[[#This Row],[Montant
EUR]]*Tableau3384[[#This Row],[Taux 
de change]]</f>
        <v>29941.835000000003</v>
      </c>
      <c r="F681" s="195">
        <v>0</v>
      </c>
      <c r="G681" s="193"/>
      <c r="H681" s="136">
        <f>Tableau3384[[#This Row],[Montant
CHF]]+Tableau3384[[#This Row],[Abzug/Spesen
CHF]]</f>
        <v>29941.835000000003</v>
      </c>
      <c r="I681" s="188">
        <v>0.93700000000000006</v>
      </c>
      <c r="J681" s="189">
        <v>31955</v>
      </c>
      <c r="K681" s="189"/>
      <c r="L681" s="298"/>
      <c r="M681" s="194"/>
      <c r="N681" s="185">
        <v>45613</v>
      </c>
      <c r="O681" s="282" t="str">
        <f>IF(Tableau3384[[#This Row],[Date du paiement]]&gt;0,"",Tableau3384[[#This Row],[Montant
CHF]])</f>
        <v/>
      </c>
      <c r="P681" s="287" t="str">
        <f>IF(Tableau3384[[#This Row],[Date du paiement]]="",$B$4-Tableau3384[[#This Row],[Écheance]],"")</f>
        <v/>
      </c>
      <c r="Q681" s="168" t="str">
        <f>IF(Tableau3384[[#This Row],[Date du paiement]]="",IF(Tableau3384[[#This Row],[jours jusqu''à l''écheance]]&gt;0,Tableau3384[[#This Row],[Montant
CHF]],""),"")</f>
        <v/>
      </c>
      <c r="R681" s="298" t="str">
        <f>IF(Tableau3384[[#This Row],[Date du paiement]]="",IF(Tableau3384[[#This Row],[jours jusqu''à l''écheance]]-($B$4-$B$11-1)&gt;0,Tableau3384[[#This Row],[Montant
CHF]],""),"")</f>
        <v/>
      </c>
      <c r="S681" s="142"/>
      <c r="T681" s="168" t="str">
        <f>IF(Tableau3384[[#This Row],[Paiements prevus]]="oui",Tableau3384[[#This Row],[Montant prevu à payer CH]],"")</f>
        <v/>
      </c>
      <c r="U681" s="177"/>
      <c r="V681" s="192" t="s">
        <v>737</v>
      </c>
      <c r="W681" s="444"/>
      <c r="X681" s="187">
        <v>45615</v>
      </c>
      <c r="Y681" s="181" t="s">
        <v>58</v>
      </c>
      <c r="Z681" s="379" t="str">
        <f>IF(Tableau3384[[#This Row],[Méthode du paiement]]="Mastercard","OUI","")</f>
        <v/>
      </c>
      <c r="AA681" s="180" t="s">
        <v>14</v>
      </c>
      <c r="AB681" s="180" t="s">
        <v>1521</v>
      </c>
    </row>
    <row r="682" spans="1:28" s="184" customFormat="1" hidden="1" x14ac:dyDescent="0.25">
      <c r="A682" s="182" t="s">
        <v>1545</v>
      </c>
      <c r="B682" s="185">
        <v>45553</v>
      </c>
      <c r="C682" s="185">
        <v>45558</v>
      </c>
      <c r="D682" s="186" t="s">
        <v>216</v>
      </c>
      <c r="E682" s="183">
        <v>241.85</v>
      </c>
      <c r="F682" s="195">
        <v>100</v>
      </c>
      <c r="G682" s="193"/>
      <c r="H682" s="136">
        <f>Tableau3384[[#This Row],[Montant
CHF]]+Tableau3384[[#This Row],[Abzug/Spesen
CHF]]</f>
        <v>241.85</v>
      </c>
      <c r="I682" s="188"/>
      <c r="J682" s="189"/>
      <c r="K682" s="189"/>
      <c r="L682" s="298"/>
      <c r="M682" s="194"/>
      <c r="N682" s="185">
        <v>45614</v>
      </c>
      <c r="O682" s="282" t="str">
        <f>IF(Tableau3384[[#This Row],[Date du paiement]]&gt;0,"",Tableau3384[[#This Row],[Montant
CHF]])</f>
        <v/>
      </c>
      <c r="P682" s="287" t="str">
        <f>IF(Tableau3384[[#This Row],[Date du paiement]]="",$B$4-Tableau3384[[#This Row],[Écheance]],"")</f>
        <v/>
      </c>
      <c r="Q682" s="168" t="str">
        <f>IF(Tableau3384[[#This Row],[Date du paiement]]="",IF(Tableau3384[[#This Row],[jours jusqu''à l''écheance]]&gt;0,Tableau3384[[#This Row],[Montant
CHF]],""),"")</f>
        <v/>
      </c>
      <c r="R682" s="298" t="str">
        <f>IF(Tableau3384[[#This Row],[Date du paiement]]="",IF(Tableau3384[[#This Row],[jours jusqu''à l''écheance]]-($B$4-$B$11-1)&gt;0,Tableau3384[[#This Row],[Montant
CHF]],""),"")</f>
        <v/>
      </c>
      <c r="S682" s="142"/>
      <c r="T682" s="168" t="str">
        <f>IF(Tableau3384[[#This Row],[Paiements prevus]]="oui",Tableau3384[[#This Row],[Montant prevu à payer CH]],"")</f>
        <v/>
      </c>
      <c r="U682" s="177"/>
      <c r="V682" s="192" t="s">
        <v>736</v>
      </c>
      <c r="W682" s="190"/>
      <c r="X682" s="187">
        <v>45615</v>
      </c>
      <c r="Y682" s="181" t="s">
        <v>58</v>
      </c>
      <c r="Z682" s="379" t="str">
        <f>IF(Tableau3384[[#This Row],[Méthode du paiement]]="Mastercard","OUI","")</f>
        <v/>
      </c>
      <c r="AA682" s="180" t="s">
        <v>604</v>
      </c>
      <c r="AB682" s="180" t="s">
        <v>1575</v>
      </c>
    </row>
    <row r="683" spans="1:28" s="184" customFormat="1" hidden="1" x14ac:dyDescent="0.25">
      <c r="A683" s="182" t="s">
        <v>1689</v>
      </c>
      <c r="B683" s="185">
        <v>45586</v>
      </c>
      <c r="C683" s="185">
        <v>45587</v>
      </c>
      <c r="D683" s="186" t="s">
        <v>104</v>
      </c>
      <c r="E683" s="438">
        <v>545.09</v>
      </c>
      <c r="F683" s="195">
        <v>8.1</v>
      </c>
      <c r="G683" s="193"/>
      <c r="H683" s="136">
        <f>Tableau3384[[#This Row],[Montant
CHF]]+Tableau3384[[#This Row],[Abzug/Spesen
CHF]]</f>
        <v>545.09</v>
      </c>
      <c r="I683" s="188"/>
      <c r="J683" s="189"/>
      <c r="K683" s="189"/>
      <c r="L683" s="298"/>
      <c r="M683" s="194"/>
      <c r="N683" s="185">
        <v>45583</v>
      </c>
      <c r="O683" s="282" t="str">
        <f>IF(Tableau3384[[#This Row],[Date du paiement]]&gt;0,"",Tableau3384[[#This Row],[Montant
CHF]])</f>
        <v/>
      </c>
      <c r="P683" s="287" t="str">
        <f>IF(Tableau3384[[#This Row],[Date du paiement]]="",$B$4-Tableau3384[[#This Row],[Écheance]],"")</f>
        <v/>
      </c>
      <c r="Q683" s="168" t="str">
        <f>IF(Tableau3384[[#This Row],[Date du paiement]]="",IF(Tableau3384[[#This Row],[jours jusqu''à l''écheance]]&gt;0,Tableau3384[[#This Row],[Montant
CHF]],""),"")</f>
        <v/>
      </c>
      <c r="R683" s="298" t="str">
        <f>IF(Tableau3384[[#This Row],[Date du paiement]]="",IF(Tableau3384[[#This Row],[jours jusqu''à l''écheance]]&gt;0,Tableau3384[[#This Row],[Montant
CHF]],""),"")</f>
        <v/>
      </c>
      <c r="S683" s="142"/>
      <c r="T683" s="168" t="str">
        <f>IF(Tableau3384[[#This Row],[Paiements prevus]]="oui",Tableau3384[[#This Row],[Montant prevu à payer CH]],"")</f>
        <v/>
      </c>
      <c r="U683" s="177"/>
      <c r="V683" s="192" t="s">
        <v>738</v>
      </c>
      <c r="W683" s="190"/>
      <c r="X683" s="441">
        <v>45586</v>
      </c>
      <c r="Y683" s="181" t="s">
        <v>58</v>
      </c>
      <c r="Z683" s="379" t="str">
        <f>IF(Tableau3384[[#This Row],[Méthode du paiement]]="Mastercard","OUI","")</f>
        <v/>
      </c>
      <c r="AA683" s="180" t="s">
        <v>14</v>
      </c>
      <c r="AB683" s="180" t="s">
        <v>1666</v>
      </c>
    </row>
    <row r="684" spans="1:28" s="184" customFormat="1" hidden="1" x14ac:dyDescent="0.25">
      <c r="A684" s="182" t="s">
        <v>1687</v>
      </c>
      <c r="B684" s="185">
        <v>45586</v>
      </c>
      <c r="C684" s="185">
        <v>45586</v>
      </c>
      <c r="D684" s="186" t="s">
        <v>216</v>
      </c>
      <c r="E684" s="438">
        <v>649</v>
      </c>
      <c r="F684" s="195">
        <v>100</v>
      </c>
      <c r="G684" s="193"/>
      <c r="H684" s="136">
        <f>Tableau3384[[#This Row],[Montant
CHF]]+Tableau3384[[#This Row],[Abzug/Spesen
CHF]]</f>
        <v>649</v>
      </c>
      <c r="I684" s="188"/>
      <c r="J684" s="189"/>
      <c r="K684" s="189"/>
      <c r="L684" s="298"/>
      <c r="M684" s="194"/>
      <c r="N684" s="185">
        <v>45646</v>
      </c>
      <c r="O684" s="282">
        <f>IF(Tableau3384[[#This Row],[Date du paiement]]&gt;0,"",Tableau3384[[#This Row],[Montant
CHF]])</f>
        <v>649</v>
      </c>
      <c r="P684" s="287">
        <f ca="1">IF(Tableau3384[[#This Row],[Date du paiement]]="",$B$4-Tableau3384[[#This Row],[Écheance]],"")</f>
        <v>-28.53057465278107</v>
      </c>
      <c r="Q684" s="168" t="str">
        <f ca="1">IF(Tableau3384[[#This Row],[Date du paiement]]="",IF(Tableau3384[[#This Row],[jours jusqu''à l''écheance]]&gt;0,Tableau3384[[#This Row],[Montant
CHF]],""),"")</f>
        <v/>
      </c>
      <c r="R684" s="298" t="str">
        <f ca="1">IF(Tableau3384[[#This Row],[Date du paiement]]="",IF(Tableau3384[[#This Row],[jours jusqu''à l''écheance]]-($B$4-$B$11-1)&gt;0,Tableau3384[[#This Row],[Montant
CHF]],""),"")</f>
        <v/>
      </c>
      <c r="S684" s="142"/>
      <c r="T684" s="168" t="str">
        <f>IF(Tableau3384[[#This Row],[Paiements prevus]]="oui",Tableau3384[[#This Row],[Montant prevu à payer CH]],"")</f>
        <v/>
      </c>
      <c r="U684" s="177"/>
      <c r="V684" s="192" t="s">
        <v>736</v>
      </c>
      <c r="W684" s="190"/>
      <c r="X684" s="187"/>
      <c r="Y684" s="181"/>
      <c r="Z684" s="379" t="str">
        <f>IF(Tableau3384[[#This Row],[Méthode du paiement]]="Mastercard","OUI","")</f>
        <v/>
      </c>
      <c r="AA684" s="180" t="s">
        <v>604</v>
      </c>
      <c r="AB684" s="180" t="s">
        <v>1688</v>
      </c>
    </row>
    <row r="685" spans="1:28" s="184" customFormat="1" hidden="1" x14ac:dyDescent="0.25">
      <c r="A685" s="182" t="s">
        <v>1695</v>
      </c>
      <c r="B685" s="185">
        <v>45586</v>
      </c>
      <c r="C685" s="185">
        <v>45589</v>
      </c>
      <c r="D685" s="186" t="s">
        <v>13</v>
      </c>
      <c r="E685" s="183">
        <f>Tableau3384[[#This Row],[Montant
EUR]]*Tableau3384[[#This Row],[Taux 
de change]]</f>
        <v>21354.454800000003</v>
      </c>
      <c r="F685" s="195">
        <v>0</v>
      </c>
      <c r="G685" s="193"/>
      <c r="H685" s="136">
        <f>Tableau3384[[#This Row],[Montant
CHF]]+Tableau3384[[#This Row],[Abzug/Spesen
CHF]]</f>
        <v>21354.454800000003</v>
      </c>
      <c r="I685" s="188">
        <v>1.02</v>
      </c>
      <c r="J685" s="189">
        <v>20935.740000000002</v>
      </c>
      <c r="K685" s="189"/>
      <c r="L685" s="298"/>
      <c r="M685" s="194"/>
      <c r="N685" s="185">
        <v>45647</v>
      </c>
      <c r="O685" s="282">
        <f>IF(Tableau3384[[#This Row],[Date du paiement]]&gt;0,"",Tableau3384[[#This Row],[Montant
CHF]])</f>
        <v>21354.454800000003</v>
      </c>
      <c r="P685" s="287">
        <f ca="1">IF(Tableau3384[[#This Row],[Date du paiement]]="",$B$4-Tableau3384[[#This Row],[Écheance]],"")</f>
        <v>-29.53057465278107</v>
      </c>
      <c r="Q685" s="168" t="str">
        <f ca="1">IF(Tableau3384[[#This Row],[Date du paiement]]="",IF(Tableau3384[[#This Row],[jours jusqu''à l''écheance]]&gt;0,Tableau3384[[#This Row],[Montant
CHF]],""),"")</f>
        <v/>
      </c>
      <c r="R685" s="298" t="str">
        <f ca="1">IF(Tableau3384[[#This Row],[Date du paiement]]="",IF(Tableau3384[[#This Row],[jours jusqu''à l''écheance]]-($B$4-$B$11-1)&gt;0,Tableau3384[[#This Row],[Montant
CHF]],""),"")</f>
        <v/>
      </c>
      <c r="S685" s="142"/>
      <c r="T685" s="168" t="str">
        <f>IF(Tableau3384[[#This Row],[Paiements prevus]]="oui",Tableau3384[[#This Row],[Montant prevu à payer CH]],"")</f>
        <v/>
      </c>
      <c r="U685" s="177"/>
      <c r="V685" s="192" t="s">
        <v>737</v>
      </c>
      <c r="W685" s="190"/>
      <c r="X685" s="187"/>
      <c r="Y685" s="181"/>
      <c r="Z685" s="379" t="str">
        <f>IF(Tableau3384[[#This Row],[Méthode du paiement]]="Mastercard","OUI","")</f>
        <v/>
      </c>
      <c r="AA685" s="180" t="s">
        <v>14</v>
      </c>
      <c r="AB685" s="180" t="s">
        <v>1696</v>
      </c>
    </row>
    <row r="686" spans="1:28" s="184" customFormat="1" hidden="1" x14ac:dyDescent="0.25">
      <c r="A686" s="182" t="s">
        <v>1690</v>
      </c>
      <c r="B686" s="185">
        <v>45588</v>
      </c>
      <c r="C686" s="185">
        <v>45588</v>
      </c>
      <c r="D686" s="186" t="s">
        <v>1667</v>
      </c>
      <c r="E686" s="438">
        <v>121.65</v>
      </c>
      <c r="F686" s="195">
        <v>0</v>
      </c>
      <c r="G686" s="193"/>
      <c r="H686" s="136">
        <f>Tableau3384[[#This Row],[Montant
CHF]]+Tableau3384[[#This Row],[Abzug/Spesen
CHF]]</f>
        <v>121.65</v>
      </c>
      <c r="I686" s="188"/>
      <c r="J686" s="189"/>
      <c r="K686" s="189"/>
      <c r="L686" s="298"/>
      <c r="M686" s="194"/>
      <c r="N686" s="185">
        <v>45588</v>
      </c>
      <c r="O686" s="282" t="str">
        <f>IF(Tableau3384[[#This Row],[Date du paiement]]&gt;0,"",Tableau3384[[#This Row],[Montant
CHF]])</f>
        <v/>
      </c>
      <c r="P686" s="287" t="str">
        <f>IF(Tableau3384[[#This Row],[Date du paiement]]="",$B$4-Tableau3384[[#This Row],[Écheance]],"")</f>
        <v/>
      </c>
      <c r="Q686" s="168" t="str">
        <f>IF(Tableau3384[[#This Row],[Date du paiement]]="",IF(Tableau3384[[#This Row],[jours jusqu''à l''écheance]]&gt;0,Tableau3384[[#This Row],[Montant
CHF]],""),"")</f>
        <v/>
      </c>
      <c r="R686" s="298" t="str">
        <f>IF(Tableau3384[[#This Row],[Date du paiement]]="",IF(Tableau3384[[#This Row],[jours jusqu''à l''écheance]]-($B$4-$B$11-1)&gt;0,Tableau3384[[#This Row],[Montant
CHF]],""),"")</f>
        <v/>
      </c>
      <c r="S686" s="142"/>
      <c r="T686" s="168" t="str">
        <f>IF(Tableau3384[[#This Row],[Paiements prevus]]="oui",Tableau3384[[#This Row],[Montant prevu à payer CH]],"")</f>
        <v/>
      </c>
      <c r="U686" s="177"/>
      <c r="V686" s="192" t="s">
        <v>738</v>
      </c>
      <c r="W686" s="190"/>
      <c r="X686" s="187">
        <v>45590</v>
      </c>
      <c r="Y686" s="181" t="s">
        <v>58</v>
      </c>
      <c r="Z686" s="379" t="str">
        <f>IF(Tableau3384[[#This Row],[Méthode du paiement]]="Mastercard","OUI","")</f>
        <v/>
      </c>
      <c r="AA686" s="180" t="s">
        <v>26</v>
      </c>
      <c r="AB686" s="180" t="s">
        <v>1691</v>
      </c>
    </row>
    <row r="687" spans="1:28" s="184" customFormat="1" hidden="1" x14ac:dyDescent="0.25">
      <c r="A687" s="182" t="s">
        <v>1694</v>
      </c>
      <c r="B687" s="185">
        <v>45588</v>
      </c>
      <c r="C687" s="185">
        <v>45588</v>
      </c>
      <c r="D687" s="186" t="s">
        <v>196</v>
      </c>
      <c r="E687" s="438">
        <v>1098.5999999999999</v>
      </c>
      <c r="F687" s="195">
        <v>8.1</v>
      </c>
      <c r="G687" s="193"/>
      <c r="H687" s="136">
        <f>Tableau3384[[#This Row],[Montant
CHF]]+Tableau3384[[#This Row],[Abzug/Spesen
CHF]]</f>
        <v>1098.5999999999999</v>
      </c>
      <c r="I687" s="188"/>
      <c r="J687" s="189"/>
      <c r="K687" s="189"/>
      <c r="L687" s="298"/>
      <c r="M687" s="194"/>
      <c r="N687" s="185">
        <v>45598</v>
      </c>
      <c r="O687" s="282">
        <f>IF(Tableau3384[[#This Row],[Date du paiement]]&gt;0,"",Tableau3384[[#This Row],[Montant
CHF]])</f>
        <v>1098.5999999999999</v>
      </c>
      <c r="P687" s="287">
        <f ca="1">IF(Tableau3384[[#This Row],[Date du paiement]]="",$B$4-Tableau3384[[#This Row],[Écheance]],"")</f>
        <v>19.46942534721893</v>
      </c>
      <c r="Q687" s="168">
        <f ca="1">IF(Tableau3384[[#This Row],[Date du paiement]]="",IF(Tableau3384[[#This Row],[jours jusqu''à l''écheance]]&gt;0,Tableau3384[[#This Row],[Montant
CHF]],""),"")</f>
        <v>1098.5999999999999</v>
      </c>
      <c r="R687" s="298">
        <f ca="1">IF(Tableau3384[[#This Row],[Date du paiement]]="",IF(Tableau3384[[#This Row],[jours jusqu''à l''écheance]]-($B$4-$B$11-1)&gt;0,Tableau3384[[#This Row],[Montant
CHF]],""),"")</f>
        <v>1098.5999999999999</v>
      </c>
      <c r="S687" s="142" t="s">
        <v>634</v>
      </c>
      <c r="T687" s="168">
        <f>IF(Tableau3384[[#This Row],[Paiements prevus]]="oui",Tableau3384[[#This Row],[Montant prevu à payer CH]],"")</f>
        <v>1098.5999999999999</v>
      </c>
      <c r="U687" s="177"/>
      <c r="V687" s="192" t="s">
        <v>735</v>
      </c>
      <c r="W687" s="190"/>
      <c r="X687" s="187"/>
      <c r="Y687" s="181"/>
      <c r="Z687" s="379" t="str">
        <f>IF(Tableau3384[[#This Row],[Méthode du paiement]]="Mastercard","OUI","")</f>
        <v/>
      </c>
      <c r="AA687" s="180" t="s">
        <v>4</v>
      </c>
      <c r="AB687" s="435" t="s">
        <v>1705</v>
      </c>
    </row>
    <row r="688" spans="1:28" s="184" customFormat="1" hidden="1" x14ac:dyDescent="0.25">
      <c r="A688" s="182" t="s">
        <v>1755</v>
      </c>
      <c r="B688" s="185">
        <v>45588</v>
      </c>
      <c r="C688" s="185">
        <v>45589</v>
      </c>
      <c r="D688" s="186" t="s">
        <v>35</v>
      </c>
      <c r="E688" s="438">
        <v>140</v>
      </c>
      <c r="F688" s="195">
        <v>0</v>
      </c>
      <c r="G688" s="193"/>
      <c r="H688" s="136">
        <f>Tableau3384[[#This Row],[Montant
CHF]]+Tableau3384[[#This Row],[Abzug/Spesen
CHF]]</f>
        <v>140</v>
      </c>
      <c r="I688" s="188"/>
      <c r="J688" s="189"/>
      <c r="K688" s="189"/>
      <c r="L688" s="298"/>
      <c r="M688" s="434">
        <v>890</v>
      </c>
      <c r="N688" s="185">
        <v>45618</v>
      </c>
      <c r="O688" s="282">
        <f>IF(Tableau3384[[#This Row],[Date du paiement]]&gt;0,"",Tableau3384[[#This Row],[Montant
CHF]])</f>
        <v>140</v>
      </c>
      <c r="P688" s="287">
        <f ca="1">IF(Tableau3384[[#This Row],[Date du paiement]]="",$B$4-Tableau3384[[#This Row],[Écheance]],"")</f>
        <v>-0.53057465278106974</v>
      </c>
      <c r="Q688" s="168" t="str">
        <f ca="1">IF(Tableau3384[[#This Row],[Date du paiement]]="",IF(Tableau3384[[#This Row],[jours jusqu''à l''écheance]]&gt;0,Tableau3384[[#This Row],[Montant
CHF]],""),"")</f>
        <v/>
      </c>
      <c r="R688" s="298">
        <f ca="1">IF(Tableau3384[[#This Row],[Date du paiement]]="",IF(Tableau3384[[#This Row],[jours jusqu''à l''écheance]]-($B$4-$B$11-1)&gt;0,Tableau3384[[#This Row],[Montant
CHF]],""),"")</f>
        <v>140</v>
      </c>
      <c r="S688" s="142" t="s">
        <v>634</v>
      </c>
      <c r="T688" s="168">
        <f>IF(Tableau3384[[#This Row],[Paiements prevus]]="oui",Tableau3384[[#This Row],[Montant prevu à payer CH]],"")</f>
        <v>140</v>
      </c>
      <c r="U688" s="177"/>
      <c r="V688" s="192" t="s">
        <v>789</v>
      </c>
      <c r="W688" s="190"/>
      <c r="X688" s="187"/>
      <c r="Y688" s="181"/>
      <c r="Z688" s="379" t="str">
        <f>IF(Tableau3384[[#This Row],[Méthode du paiement]]="Mastercard","OUI","")</f>
        <v/>
      </c>
      <c r="AA688" s="180" t="s">
        <v>4</v>
      </c>
      <c r="AB688" s="180" t="s">
        <v>1756</v>
      </c>
    </row>
    <row r="689" spans="1:28" s="184" customFormat="1" hidden="1" x14ac:dyDescent="0.25">
      <c r="A689" s="182" t="s">
        <v>1722</v>
      </c>
      <c r="B689" s="185">
        <v>45588</v>
      </c>
      <c r="C689" s="185">
        <v>45594</v>
      </c>
      <c r="D689" s="186" t="s">
        <v>1721</v>
      </c>
      <c r="E689" s="438">
        <v>1348.5</v>
      </c>
      <c r="F689" s="195">
        <v>8.1</v>
      </c>
      <c r="G689" s="193"/>
      <c r="H689" s="136">
        <f>Tableau3384[[#This Row],[Montant
CHF]]+Tableau3384[[#This Row],[Abzug/Spesen
CHF]]</f>
        <v>1348.5</v>
      </c>
      <c r="I689" s="188"/>
      <c r="J689" s="189"/>
      <c r="K689" s="189"/>
      <c r="L689" s="298"/>
      <c r="M689" s="445"/>
      <c r="N689" s="185">
        <v>45594</v>
      </c>
      <c r="O689" s="282" t="str">
        <f>IF(Tableau3384[[#This Row],[Date du paiement]]&gt;0,"",Tableau3384[[#This Row],[Montant
CHF]])</f>
        <v/>
      </c>
      <c r="P689" s="287" t="str">
        <f>IF(Tableau3384[[#This Row],[Date du paiement]]="",$B$4-Tableau3384[[#This Row],[Écheance]],"")</f>
        <v/>
      </c>
      <c r="Q689" s="168" t="str">
        <f>IF(Tableau3384[[#This Row],[Date du paiement]]="",IF(Tableau3384[[#This Row],[jours jusqu''à l''écheance]]&gt;0,Tableau3384[[#This Row],[Montant
CHF]],""),"")</f>
        <v/>
      </c>
      <c r="R689" s="298" t="str">
        <f>IF(Tableau3384[[#This Row],[Date du paiement]]="",IF(Tableau3384[[#This Row],[jours jusqu''à l''écheance]]-($B$4-$B$11-1)&gt;0,Tableau3384[[#This Row],[Montant
CHF]],""),"")</f>
        <v/>
      </c>
      <c r="S689" s="142"/>
      <c r="T689" s="168" t="str">
        <f>IF(Tableau3384[[#This Row],[Paiements prevus]]="oui",Tableau3384[[#This Row],[Montant prevu à payer CH]],"")</f>
        <v/>
      </c>
      <c r="U689" s="177"/>
      <c r="V689" s="192"/>
      <c r="W689" s="190" t="s">
        <v>1747</v>
      </c>
      <c r="X689" s="187">
        <v>45588</v>
      </c>
      <c r="Y689" s="181" t="s">
        <v>105</v>
      </c>
      <c r="Z689" s="379" t="str">
        <f>IF(Tableau3384[[#This Row],[Méthode du paiement]]="Mastercard","OUI","")</f>
        <v>OUI</v>
      </c>
      <c r="AA689" s="180" t="s">
        <v>14</v>
      </c>
      <c r="AB689" s="442"/>
    </row>
    <row r="690" spans="1:28" s="184" customFormat="1" hidden="1" x14ac:dyDescent="0.25">
      <c r="A690" s="182" t="s">
        <v>1697</v>
      </c>
      <c r="B690" s="185">
        <v>45589</v>
      </c>
      <c r="C690" s="185">
        <v>45590</v>
      </c>
      <c r="D690" s="186" t="s">
        <v>117</v>
      </c>
      <c r="E690" s="438">
        <f>Tableau3384[[#This Row],[Montant
EUR]]*Tableau3384[[#This Row],[Taux 
de change]]</f>
        <v>1111.8</v>
      </c>
      <c r="F690" s="195">
        <v>0</v>
      </c>
      <c r="G690" s="193"/>
      <c r="H690" s="136">
        <f>Tableau3384[[#This Row],[Montant
CHF]]+Tableau3384[[#This Row],[Abzug/Spesen
CHF]]</f>
        <v>1111.8</v>
      </c>
      <c r="I690" s="188">
        <v>1.02</v>
      </c>
      <c r="J690" s="189">
        <v>1090</v>
      </c>
      <c r="K690" s="189"/>
      <c r="L690" s="298"/>
      <c r="M690" s="194"/>
      <c r="N690" s="185">
        <v>45619</v>
      </c>
      <c r="O690" s="282">
        <f>IF(Tableau3384[[#This Row],[Date du paiement]]&gt;0,"",Tableau3384[[#This Row],[Montant
CHF]])</f>
        <v>1111.8</v>
      </c>
      <c r="P690" s="287">
        <f ca="1">IF(Tableau3384[[#This Row],[Date du paiement]]="",$B$4-Tableau3384[[#This Row],[Écheance]],"")</f>
        <v>-1.5305746527810697</v>
      </c>
      <c r="Q690" s="168" t="str">
        <f ca="1">IF(Tableau3384[[#This Row],[Date du paiement]]="",IF(Tableau3384[[#This Row],[jours jusqu''à l''écheance]]&gt;0,Tableau3384[[#This Row],[Montant
CHF]],""),"")</f>
        <v/>
      </c>
      <c r="R690" s="298">
        <f ca="1">IF(Tableau3384[[#This Row],[Date du paiement]]="",IF(Tableau3384[[#This Row],[jours jusqu''à l''écheance]]-($B$4-$B$11-1)&gt;0,Tableau3384[[#This Row],[Montant
CHF]],""),"")</f>
        <v>1111.8</v>
      </c>
      <c r="S690" s="142" t="s">
        <v>634</v>
      </c>
      <c r="T690" s="168">
        <f>IF(Tableau3384[[#This Row],[Paiements prevus]]="oui",Tableau3384[[#This Row],[Montant prevu à payer CH]],"")</f>
        <v>1111.8</v>
      </c>
      <c r="U690" s="177"/>
      <c r="V690" s="192" t="s">
        <v>737</v>
      </c>
      <c r="W690" s="190"/>
      <c r="X690" s="187"/>
      <c r="Y690" s="181"/>
      <c r="Z690" s="379" t="str">
        <f>IF(Tableau3384[[#This Row],[Méthode du paiement]]="Mastercard","OUI","")</f>
        <v/>
      </c>
      <c r="AA690" s="180" t="s">
        <v>11</v>
      </c>
      <c r="AB690" s="435" t="s">
        <v>1735</v>
      </c>
    </row>
    <row r="691" spans="1:28" s="184" customFormat="1" hidden="1" x14ac:dyDescent="0.25">
      <c r="A691" s="182" t="s">
        <v>1703</v>
      </c>
      <c r="B691" s="185">
        <v>45593</v>
      </c>
      <c r="C691" s="185">
        <v>45593</v>
      </c>
      <c r="D691" s="186" t="s">
        <v>1704</v>
      </c>
      <c r="E691" s="438">
        <v>15482.14</v>
      </c>
      <c r="F691" s="195">
        <v>8.1</v>
      </c>
      <c r="G691" s="193"/>
      <c r="H691" s="136">
        <f>Tableau3384[[#This Row],[Montant
CHF]]+Tableau3384[[#This Row],[Abzug/Spesen
CHF]]</f>
        <v>15482.14</v>
      </c>
      <c r="I691" s="188"/>
      <c r="J691" s="189"/>
      <c r="K691" s="189"/>
      <c r="L691" s="298"/>
      <c r="M691" s="445"/>
      <c r="N691" s="185">
        <v>45609</v>
      </c>
      <c r="O691" s="282">
        <f>IF(Tableau3384[[#This Row],[Date du paiement]]&gt;0,"",Tableau3384[[#This Row],[Montant
CHF]])</f>
        <v>15482.14</v>
      </c>
      <c r="P691" s="287">
        <f ca="1">IF(Tableau3384[[#This Row],[Date du paiement]]="",$B$4-Tableau3384[[#This Row],[Écheance]],"")</f>
        <v>8.4694253472189303</v>
      </c>
      <c r="Q691" s="168">
        <f ca="1">IF(Tableau3384[[#This Row],[Date du paiement]]="",IF(Tableau3384[[#This Row],[jours jusqu''à l''écheance]]&gt;0,Tableau3384[[#This Row],[Montant
CHF]],""),"")</f>
        <v>15482.14</v>
      </c>
      <c r="R691" s="298">
        <f ca="1">IF(Tableau3384[[#This Row],[Date du paiement]]="",IF(Tableau3384[[#This Row],[jours jusqu''à l''écheance]]-($B$4-$B$11-1)&gt;0,Tableau3384[[#This Row],[Montant
CHF]],""),"")</f>
        <v>15482.14</v>
      </c>
      <c r="S691" s="142"/>
      <c r="T691" s="168" t="str">
        <f>IF(Tableau3384[[#This Row],[Paiements prevus]]="oui",Tableau3384[[#This Row],[Montant prevu à payer CH]],"")</f>
        <v/>
      </c>
      <c r="U691" s="177"/>
      <c r="V691" s="192"/>
      <c r="W691" s="190" t="s">
        <v>772</v>
      </c>
      <c r="X691" s="187"/>
      <c r="Y691" s="181"/>
      <c r="Z691" s="379" t="str">
        <f>IF(Tableau3384[[#This Row],[Méthode du paiement]]="Mastercard","OUI","")</f>
        <v/>
      </c>
      <c r="AA691" s="180" t="s">
        <v>14</v>
      </c>
      <c r="AB691" s="180" t="s">
        <v>1708</v>
      </c>
    </row>
    <row r="692" spans="1:28" s="184" customFormat="1" hidden="1" x14ac:dyDescent="0.25">
      <c r="A692" s="182" t="s">
        <v>1739</v>
      </c>
      <c r="B692" s="185">
        <v>45593</v>
      </c>
      <c r="C692" s="185">
        <v>45594</v>
      </c>
      <c r="D692" s="186" t="s">
        <v>216</v>
      </c>
      <c r="E692" s="438">
        <v>2383.4499999999998</v>
      </c>
      <c r="F692" s="195">
        <v>100</v>
      </c>
      <c r="G692" s="193"/>
      <c r="H692" s="136">
        <f>Tableau3384[[#This Row],[Montant
CHF]]+Tableau3384[[#This Row],[Abzug/Spesen
CHF]]</f>
        <v>2383.4499999999998</v>
      </c>
      <c r="I692" s="188"/>
      <c r="J692" s="189"/>
      <c r="K692" s="189"/>
      <c r="L692" s="298"/>
      <c r="M692" s="194"/>
      <c r="N692" s="185">
        <v>45653</v>
      </c>
      <c r="O692" s="282">
        <f>IF(Tableau3384[[#This Row],[Date du paiement]]&gt;0,"",Tableau3384[[#This Row],[Montant
CHF]])</f>
        <v>2383.4499999999998</v>
      </c>
      <c r="P692" s="475">
        <f ca="1">IF(Tableau3384[[#This Row],[Date du paiement]]="",$B$4-Tableau3384[[#This Row],[Écheance]],"")</f>
        <v>-35.53057465278107</v>
      </c>
      <c r="Q692" s="168" t="str">
        <f ca="1">IF(Tableau3384[[#This Row],[Date du paiement]]="",IF(Tableau3384[[#This Row],[jours jusqu''à l''écheance]]&gt;0,Tableau3384[[#This Row],[Montant
CHF]],""),"")</f>
        <v/>
      </c>
      <c r="R692" s="298" t="str">
        <f ca="1">IF(Tableau3384[[#This Row],[Date du paiement]]="",IF(Tableau3384[[#This Row],[jours jusqu''à l''écheance]]-($B$4-$B$11-1)&gt;0,Tableau3384[[#This Row],[Montant
CHF]],""),"")</f>
        <v/>
      </c>
      <c r="S692" s="142"/>
      <c r="T692" s="168" t="str">
        <f>IF(Tableau3384[[#This Row],[Paiements prevus]]="oui",Tableau3384[[#This Row],[Montant prevu à payer CH]],"")</f>
        <v/>
      </c>
      <c r="U692" s="177"/>
      <c r="V692" s="192"/>
      <c r="W692" s="190" t="s">
        <v>772</v>
      </c>
      <c r="X692" s="187"/>
      <c r="Y692" s="181"/>
      <c r="Z692" s="500" t="str">
        <f>IF(Tableau3384[[#This Row],[Méthode du paiement]]="Mastercard","OUI","")</f>
        <v/>
      </c>
      <c r="AA692" s="180" t="s">
        <v>604</v>
      </c>
      <c r="AB692" s="180" t="s">
        <v>1740</v>
      </c>
    </row>
    <row r="693" spans="1:28" s="184" customFormat="1" hidden="1" x14ac:dyDescent="0.25">
      <c r="A693" s="182" t="s">
        <v>1734</v>
      </c>
      <c r="B693" s="185">
        <v>45593</v>
      </c>
      <c r="C693" s="185">
        <v>45596</v>
      </c>
      <c r="D693" s="186" t="s">
        <v>117</v>
      </c>
      <c r="E693" s="183">
        <f>Tableau3384[[#This Row],[Montant
EUR]]*Tableau3384[[#This Row],[Taux 
de change]]</f>
        <v>6977.82</v>
      </c>
      <c r="F693" s="195">
        <v>0</v>
      </c>
      <c r="G693" s="193"/>
      <c r="H693" s="136">
        <f>Tableau3384[[#This Row],[Montant
CHF]]+Tableau3384[[#This Row],[Abzug/Spesen
CHF]]</f>
        <v>6977.82</v>
      </c>
      <c r="I693" s="188">
        <v>1.02</v>
      </c>
      <c r="J693" s="189">
        <v>6841</v>
      </c>
      <c r="K693" s="189"/>
      <c r="L693" s="298"/>
      <c r="M693" s="194"/>
      <c r="N693" s="185">
        <v>45623</v>
      </c>
      <c r="O693" s="282">
        <f>IF(Tableau3384[[#This Row],[Date du paiement]]&gt;0,"",Tableau3384[[#This Row],[Montant
CHF]])</f>
        <v>6977.82</v>
      </c>
      <c r="P693" s="475">
        <f ca="1">IF(Tableau3384[[#This Row],[Date du paiement]]="",$B$4-Tableau3384[[#This Row],[Écheance]],"")</f>
        <v>-5.5305746527810697</v>
      </c>
      <c r="Q693" s="168" t="str">
        <f ca="1">IF(Tableau3384[[#This Row],[Date du paiement]]="",IF(Tableau3384[[#This Row],[jours jusqu''à l''écheance]]&gt;0,Tableau3384[[#This Row],[Montant
CHF]],""),"")</f>
        <v/>
      </c>
      <c r="R693" s="298" t="str">
        <f ca="1">IF(Tableau3384[[#This Row],[Date du paiement]]="",IF(Tableau3384[[#This Row],[jours jusqu''à l''écheance]]-($B$4-$B$11-1)&gt;0,Tableau3384[[#This Row],[Montant
CHF]],""),"")</f>
        <v/>
      </c>
      <c r="S693" s="142"/>
      <c r="T693" s="168" t="str">
        <f>IF(Tableau3384[[#This Row],[Paiements prevus]]="oui",Tableau3384[[#This Row],[Montant prevu à payer CH]],"")</f>
        <v/>
      </c>
      <c r="U693" s="177"/>
      <c r="V693" s="192" t="s">
        <v>737</v>
      </c>
      <c r="W693" s="190"/>
      <c r="X693" s="187"/>
      <c r="Y693" s="181"/>
      <c r="Z693" s="500" t="str">
        <f>IF(Tableau3384[[#This Row],[Méthode du paiement]]="Mastercard","OUI","")</f>
        <v/>
      </c>
      <c r="AA693" s="180" t="s">
        <v>14</v>
      </c>
      <c r="AB693" s="180" t="s">
        <v>1735</v>
      </c>
    </row>
    <row r="694" spans="1:28" s="184" customFormat="1" hidden="1" x14ac:dyDescent="0.25">
      <c r="A694" s="182" t="s">
        <v>1723</v>
      </c>
      <c r="B694" s="185">
        <v>45594</v>
      </c>
      <c r="C694" s="185">
        <v>45594</v>
      </c>
      <c r="D694" s="186" t="s">
        <v>25</v>
      </c>
      <c r="E694" s="438">
        <v>40</v>
      </c>
      <c r="F694" s="195">
        <v>0</v>
      </c>
      <c r="G694" s="193"/>
      <c r="H694" s="136">
        <f>Tableau3384[[#This Row],[Montant
CHF]]+Tableau3384[[#This Row],[Abzug/Spesen
CHF]]</f>
        <v>40</v>
      </c>
      <c r="I694" s="188"/>
      <c r="J694" s="189"/>
      <c r="K694" s="189"/>
      <c r="L694" s="298"/>
      <c r="M694" s="194"/>
      <c r="N694" s="185">
        <v>45614</v>
      </c>
      <c r="O694" s="282">
        <f>IF(Tableau3384[[#This Row],[Date du paiement]]&gt;0,"",Tableau3384[[#This Row],[Montant
CHF]])</f>
        <v>40</v>
      </c>
      <c r="P694" s="287">
        <f ca="1">IF(Tableau3384[[#This Row],[Date du paiement]]="",$B$4-Tableau3384[[#This Row],[Écheance]],"")</f>
        <v>3.4694253472189303</v>
      </c>
      <c r="Q694" s="168">
        <f ca="1">IF(Tableau3384[[#This Row],[Date du paiement]]="",IF(Tableau3384[[#This Row],[jours jusqu''à l''écheance]]&gt;0,Tableau3384[[#This Row],[Montant
CHF]],""),"")</f>
        <v>40</v>
      </c>
      <c r="R694" s="298">
        <f ca="1">IF(Tableau3384[[#This Row],[Date du paiement]]="",IF(Tableau3384[[#This Row],[jours jusqu''à l''écheance]]-($B$4-$B$11-1)&gt;0,Tableau3384[[#This Row],[Montant
CHF]],""),"")</f>
        <v>40</v>
      </c>
      <c r="S694" s="142"/>
      <c r="T694" s="168" t="str">
        <f>IF(Tableau3384[[#This Row],[Paiements prevus]]="oui",Tableau3384[[#This Row],[Montant prevu à payer CH]],"")</f>
        <v/>
      </c>
      <c r="U694" s="177"/>
      <c r="V694" s="192" t="s">
        <v>738</v>
      </c>
      <c r="W694" s="190"/>
      <c r="X694" s="187"/>
      <c r="Y694" s="181"/>
      <c r="Z694" s="379" t="str">
        <f>IF(Tableau3384[[#This Row],[Méthode du paiement]]="Mastercard","OUI","")</f>
        <v/>
      </c>
      <c r="AA694" s="180" t="s">
        <v>26</v>
      </c>
      <c r="AB694" s="180" t="s">
        <v>1724</v>
      </c>
    </row>
    <row r="695" spans="1:28" s="184" customFormat="1" hidden="1" x14ac:dyDescent="0.25">
      <c r="A695" s="182" t="s">
        <v>1737</v>
      </c>
      <c r="B695" s="185">
        <v>45594</v>
      </c>
      <c r="C695" s="185">
        <v>45594</v>
      </c>
      <c r="D695" s="186" t="s">
        <v>1490</v>
      </c>
      <c r="E695" s="183">
        <v>677.44</v>
      </c>
      <c r="F695" s="195">
        <v>8.1</v>
      </c>
      <c r="G695" s="193"/>
      <c r="H695" s="136">
        <f>Tableau3384[[#This Row],[Montant
CHF]]+Tableau3384[[#This Row],[Abzug/Spesen
CHF]]</f>
        <v>677.44</v>
      </c>
      <c r="I695" s="188"/>
      <c r="J695" s="189"/>
      <c r="K695" s="189"/>
      <c r="L695" s="298"/>
      <c r="M695" s="194"/>
      <c r="N695" s="185">
        <v>45594</v>
      </c>
      <c r="O695" s="282" t="str">
        <f>IF(Tableau3384[[#This Row],[Date du paiement]]&gt;0,"",Tableau3384[[#This Row],[Montant
CHF]])</f>
        <v/>
      </c>
      <c r="P695" s="287" t="str">
        <f>IF(Tableau3384[[#This Row],[Date du paiement]]="",$B$4-Tableau3384[[#This Row],[Écheance]],"")</f>
        <v/>
      </c>
      <c r="Q695" s="168" t="str">
        <f>IF(Tableau3384[[#This Row],[Date du paiement]]="",IF(Tableau3384[[#This Row],[jours jusqu''à l''écheance]]&gt;0,Tableau3384[[#This Row],[Montant
CHF]],""),"")</f>
        <v/>
      </c>
      <c r="R695" s="298" t="str">
        <f>IF(Tableau3384[[#This Row],[Date du paiement]]="",IF(Tableau3384[[#This Row],[jours jusqu''à l''écheance]]-($B$4-$B$11-1)&gt;0,Tableau3384[[#This Row],[Montant
CHF]],""),"")</f>
        <v/>
      </c>
      <c r="S695" s="142"/>
      <c r="T695" s="168" t="str">
        <f>IF(Tableau3384[[#This Row],[Paiements prevus]]="oui",Tableau3384[[#This Row],[Montant prevu à payer CH]],"")</f>
        <v/>
      </c>
      <c r="U695" s="177"/>
      <c r="V695" s="192"/>
      <c r="W695" s="190" t="s">
        <v>1818</v>
      </c>
      <c r="X695" s="187">
        <v>45594</v>
      </c>
      <c r="Y695" s="181" t="s">
        <v>105</v>
      </c>
      <c r="Z695" s="379" t="str">
        <f>IF(Tableau3384[[#This Row],[Méthode du paiement]]="Mastercard","OUI","")</f>
        <v>OUI</v>
      </c>
      <c r="AA695" s="180" t="s">
        <v>1431</v>
      </c>
      <c r="AB695" s="442" t="s">
        <v>1738</v>
      </c>
    </row>
    <row r="696" spans="1:28" s="184" customFormat="1" x14ac:dyDescent="0.25">
      <c r="A696" s="182" t="s">
        <v>1776</v>
      </c>
      <c r="B696" s="185">
        <v>45594</v>
      </c>
      <c r="C696" s="185">
        <v>45604</v>
      </c>
      <c r="D696" s="186" t="s">
        <v>759</v>
      </c>
      <c r="E696" s="438">
        <v>623.4</v>
      </c>
      <c r="F696" s="195">
        <v>8.1</v>
      </c>
      <c r="G696" s="193"/>
      <c r="H696" s="136">
        <f>Tableau3384[[#This Row],[Montant
CHF]]+Tableau3384[[#This Row],[Abzug/Spesen
CHF]]</f>
        <v>623.4</v>
      </c>
      <c r="I696" s="188"/>
      <c r="J696" s="189"/>
      <c r="K696" s="189"/>
      <c r="L696" s="298"/>
      <c r="M696" s="194"/>
      <c r="N696" s="185">
        <v>45625</v>
      </c>
      <c r="O696" s="282">
        <f>IF(Tableau3384[[#This Row],[Date du paiement]]&gt;0,"",Tableau3384[[#This Row],[Montant
CHF]])</f>
        <v>623.4</v>
      </c>
      <c r="P696" s="287">
        <f ca="1">IF(Tableau3384[[#This Row],[Date du paiement]]="",$B$4-Tableau3384[[#This Row],[Écheance]],"")</f>
        <v>-7.5305746527810697</v>
      </c>
      <c r="Q696" s="168" t="str">
        <f ca="1">IF(Tableau3384[[#This Row],[Date du paiement]]="",IF(Tableau3384[[#This Row],[jours jusqu''à l''écheance]]&gt;0,Tableau3384[[#This Row],[Montant
CHF]],""),"")</f>
        <v/>
      </c>
      <c r="R696" s="298" t="str">
        <f ca="1">IF(Tableau3384[[#This Row],[Date du paiement]]="",IF(Tableau3384[[#This Row],[jours jusqu''à l''écheance]]-($B$4-$B$11-1)&gt;0,Tableau3384[[#This Row],[Montant
CHF]],""),"")</f>
        <v/>
      </c>
      <c r="S696" s="142"/>
      <c r="T696" s="168" t="str">
        <f>IF(Tableau3384[[#This Row],[Paiements prevus]]="oui",Tableau3384[[#This Row],[Montant prevu à payer CH]],"")</f>
        <v/>
      </c>
      <c r="U696" s="177"/>
      <c r="V696" s="192" t="s">
        <v>735</v>
      </c>
      <c r="W696" s="190"/>
      <c r="X696" s="187"/>
      <c r="Y696" s="181"/>
      <c r="Z696" s="379" t="str">
        <f>IF(Tableau3384[[#This Row],[Méthode du paiement]]="Mastercard","OUI","")</f>
        <v/>
      </c>
      <c r="AA696" s="180" t="s">
        <v>1431</v>
      </c>
      <c r="AB696" s="435" t="s">
        <v>1777</v>
      </c>
    </row>
    <row r="697" spans="1:28" s="184" customFormat="1" hidden="1" x14ac:dyDescent="0.25">
      <c r="A697" s="182" t="s">
        <v>1730</v>
      </c>
      <c r="B697" s="185">
        <v>45595</v>
      </c>
      <c r="C697" s="185">
        <v>45596</v>
      </c>
      <c r="D697" s="186" t="s">
        <v>216</v>
      </c>
      <c r="E697" s="438">
        <v>392.35</v>
      </c>
      <c r="F697" s="195">
        <v>100</v>
      </c>
      <c r="G697" s="193"/>
      <c r="H697" s="136">
        <f>Tableau3384[[#This Row],[Montant
CHF]]+Tableau3384[[#This Row],[Abzug/Spesen
CHF]]</f>
        <v>392.35</v>
      </c>
      <c r="I697" s="188"/>
      <c r="J697" s="189"/>
      <c r="K697" s="189"/>
      <c r="L697" s="298"/>
      <c r="M697" s="194"/>
      <c r="N697" s="185">
        <v>45656</v>
      </c>
      <c r="O697" s="282">
        <f>IF(Tableau3384[[#This Row],[Date du paiement]]&gt;0,"",Tableau3384[[#This Row],[Montant
CHF]])</f>
        <v>392.35</v>
      </c>
      <c r="P697" s="287">
        <f ca="1">IF(Tableau3384[[#This Row],[Date du paiement]]="",$B$4-Tableau3384[[#This Row],[Écheance]],"")</f>
        <v>-38.53057465278107</v>
      </c>
      <c r="Q697" s="168" t="str">
        <f ca="1">IF(Tableau3384[[#This Row],[Date du paiement]]="",IF(Tableau3384[[#This Row],[jours jusqu''à l''écheance]]&gt;0,Tableau3384[[#This Row],[Montant
CHF]],""),"")</f>
        <v/>
      </c>
      <c r="R697" s="298" t="str">
        <f ca="1">IF(Tableau3384[[#This Row],[Date du paiement]]="",IF(Tableau3384[[#This Row],[jours jusqu''à l''écheance]]-($B$4-$B$11-1)&gt;0,Tableau3384[[#This Row],[Montant
CHF]],""),"")</f>
        <v/>
      </c>
      <c r="S697" s="142"/>
      <c r="T697" s="168" t="str">
        <f>IF(Tableau3384[[#This Row],[Paiements prevus]]="oui",Tableau3384[[#This Row],[Montant prevu à payer CH]],"")</f>
        <v/>
      </c>
      <c r="U697" s="177"/>
      <c r="V697" s="192" t="s">
        <v>736</v>
      </c>
      <c r="W697" s="190"/>
      <c r="X697" s="187"/>
      <c r="Y697" s="181"/>
      <c r="Z697" s="379" t="str">
        <f>IF(Tableau3384[[#This Row],[Méthode du paiement]]="Mastercard","OUI","")</f>
        <v/>
      </c>
      <c r="AA697" s="180" t="s">
        <v>604</v>
      </c>
      <c r="AB697" s="435" t="s">
        <v>1731</v>
      </c>
    </row>
    <row r="698" spans="1:28" s="184" customFormat="1" hidden="1" x14ac:dyDescent="0.25">
      <c r="A698" s="182" t="s">
        <v>1550</v>
      </c>
      <c r="B698" s="185">
        <v>45596</v>
      </c>
      <c r="C698" s="185">
        <v>45596</v>
      </c>
      <c r="D698" s="186" t="s">
        <v>1412</v>
      </c>
      <c r="E698" s="438">
        <v>480</v>
      </c>
      <c r="F698" s="195">
        <v>0</v>
      </c>
      <c r="G698" s="193"/>
      <c r="H698" s="136">
        <f>Tableau3384[[#This Row],[Montant
CHF]]+Tableau3384[[#This Row],[Abzug/Spesen
CHF]]</f>
        <v>480</v>
      </c>
      <c r="I698" s="188"/>
      <c r="J698" s="189"/>
      <c r="K698" s="189"/>
      <c r="L698" s="298"/>
      <c r="M698" s="194"/>
      <c r="N698" s="185">
        <v>45616</v>
      </c>
      <c r="O698" s="282">
        <f>IF(Tableau3384[[#This Row],[Date du paiement]]&gt;0,"",Tableau3384[[#This Row],[Montant
CHF]])</f>
        <v>480</v>
      </c>
      <c r="P698" s="287">
        <f ca="1">IF(Tableau3384[[#This Row],[Date du paiement]]="",$B$4-Tableau3384[[#This Row],[Écheance]],"")</f>
        <v>1.4694253472189303</v>
      </c>
      <c r="Q698" s="168">
        <f ca="1">IF(Tableau3384[[#This Row],[Date du paiement]]="",IF(Tableau3384[[#This Row],[jours jusqu''à l''écheance]]&gt;0,Tableau3384[[#This Row],[Montant
CHF]],""),"")</f>
        <v>480</v>
      </c>
      <c r="R698" s="298">
        <f ca="1">IF(Tableau3384[[#This Row],[Date du paiement]]="",IF(Tableau3384[[#This Row],[jours jusqu''à l''écheance]]-($B$4-$B$11-1)&gt;0,Tableau3384[[#This Row],[Montant
CHF]],""),"")</f>
        <v>480</v>
      </c>
      <c r="S698" s="142"/>
      <c r="T698" s="168" t="str">
        <f>IF(Tableau3384[[#This Row],[Paiements prevus]]="oui",Tableau3384[[#This Row],[Montant prevu à payer CH]],"")</f>
        <v/>
      </c>
      <c r="U698" s="177"/>
      <c r="V698" s="192" t="s">
        <v>735</v>
      </c>
      <c r="W698" s="190"/>
      <c r="X698" s="187"/>
      <c r="Y698" s="181"/>
      <c r="Z698" s="379" t="str">
        <f>IF(Tableau3384[[#This Row],[Méthode du paiement]]="Mastercard","OUI","")</f>
        <v/>
      </c>
      <c r="AA698" s="180" t="s">
        <v>43</v>
      </c>
      <c r="AB698" s="435" t="s">
        <v>1736</v>
      </c>
    </row>
    <row r="699" spans="1:28" s="184" customFormat="1" hidden="1" x14ac:dyDescent="0.25">
      <c r="A699" s="182" t="s">
        <v>1768</v>
      </c>
      <c r="B699" s="185">
        <v>45596</v>
      </c>
      <c r="C699" s="185">
        <v>45602</v>
      </c>
      <c r="D699" s="186" t="s">
        <v>94</v>
      </c>
      <c r="E699" s="438">
        <f>1141.8-10.55</f>
        <v>1131.25</v>
      </c>
      <c r="F699" s="195">
        <v>8.1</v>
      </c>
      <c r="G699" s="193"/>
      <c r="H699" s="136">
        <f>Tableau3384[[#This Row],[Montant
CHF]]+Tableau3384[[#This Row],[Abzug/Spesen
CHF]]</f>
        <v>1131.25</v>
      </c>
      <c r="I699" s="188"/>
      <c r="J699" s="189"/>
      <c r="K699" s="189"/>
      <c r="L699" s="298">
        <v>1141.8</v>
      </c>
      <c r="M699" s="194"/>
      <c r="N699" s="185">
        <v>45626</v>
      </c>
      <c r="O699" s="282">
        <f>IF(Tableau3384[[#This Row],[Date du paiement]]&gt;0,"",Tableau3384[[#This Row],[Montant
CHF]])</f>
        <v>1131.25</v>
      </c>
      <c r="P699" s="475">
        <f ca="1">IF(Tableau3384[[#This Row],[Date du paiement]]="",$B$4-Tableau3384[[#This Row],[Écheance]],"")</f>
        <v>-8.5305746527810697</v>
      </c>
      <c r="Q699" s="168" t="str">
        <f ca="1">IF(Tableau3384[[#This Row],[Date du paiement]]="",IF(Tableau3384[[#This Row],[jours jusqu''à l''écheance]]&gt;0,Tableau3384[[#This Row],[Montant
CHF]],""),"")</f>
        <v/>
      </c>
      <c r="R699" s="298" t="str">
        <f ca="1">IF(Tableau3384[[#This Row],[Date du paiement]]="",IF(Tableau3384[[#This Row],[jours jusqu''à l''écheance]]-($B$4-$B$11-1)&gt;0,Tableau3384[[#This Row],[Montant
CHF]],""),"")</f>
        <v/>
      </c>
      <c r="S699" s="142"/>
      <c r="T699" s="168" t="str">
        <f>IF(Tableau3384[[#This Row],[Paiements prevus]]="oui",Tableau3384[[#This Row],[Montant prevu à payer CH]],"")</f>
        <v/>
      </c>
      <c r="U699" s="177"/>
      <c r="V699" s="192" t="s">
        <v>738</v>
      </c>
      <c r="W699" s="190"/>
      <c r="X699" s="187"/>
      <c r="Y699" s="181"/>
      <c r="Z699" s="500" t="str">
        <f>IF(Tableau3384[[#This Row],[Méthode du paiement]]="Mastercard","OUI","")</f>
        <v/>
      </c>
      <c r="AA699" s="180" t="s">
        <v>14</v>
      </c>
      <c r="AB699" s="180" t="s">
        <v>1752</v>
      </c>
    </row>
    <row r="700" spans="1:28" s="184" customFormat="1" hidden="1" x14ac:dyDescent="0.25">
      <c r="A700" s="182" t="s">
        <v>1769</v>
      </c>
      <c r="B700" s="185">
        <v>45596</v>
      </c>
      <c r="C700" s="185">
        <v>45602</v>
      </c>
      <c r="D700" s="186" t="s">
        <v>94</v>
      </c>
      <c r="E700" s="438">
        <f>1141.8-1131.25</f>
        <v>10.549999999999955</v>
      </c>
      <c r="F700" s="195">
        <v>8.1</v>
      </c>
      <c r="G700" s="193"/>
      <c r="H700" s="136">
        <f>Tableau3384[[#This Row],[Montant
CHF]]+Tableau3384[[#This Row],[Abzug/Spesen
CHF]]</f>
        <v>10.549999999999955</v>
      </c>
      <c r="I700" s="188"/>
      <c r="J700" s="189"/>
      <c r="K700" s="189"/>
      <c r="L700" s="298">
        <v>1141.8</v>
      </c>
      <c r="M700" s="194"/>
      <c r="N700" s="185">
        <v>45626</v>
      </c>
      <c r="O700" s="282">
        <f>IF(Tableau3384[[#This Row],[Date du paiement]]&gt;0,"",Tableau3384[[#This Row],[Montant
CHF]])</f>
        <v>10.549999999999955</v>
      </c>
      <c r="P700" s="287">
        <f ca="1">IF(Tableau3384[[#This Row],[Date du paiement]]="",$B$4-Tableau3384[[#This Row],[Écheance]],"")</f>
        <v>-8.5305746527810697</v>
      </c>
      <c r="Q700" s="168" t="str">
        <f ca="1">IF(Tableau3384[[#This Row],[Date du paiement]]="",IF(Tableau3384[[#This Row],[jours jusqu''à l''écheance]]&gt;0,Tableau3384[[#This Row],[Montant
CHF]],""),"")</f>
        <v/>
      </c>
      <c r="R700" s="298" t="str">
        <f ca="1">IF(Tableau3384[[#This Row],[Date du paiement]]="",IF(Tableau3384[[#This Row],[jours jusqu''à l''écheance]]-($B$4-$B$11-1)&gt;0,Tableau3384[[#This Row],[Montant
CHF]],""),"")</f>
        <v/>
      </c>
      <c r="S700" s="142"/>
      <c r="T700" s="168" t="str">
        <f>IF(Tableau3384[[#This Row],[Paiements prevus]]="oui",Tableau3384[[#This Row],[Montant prevu à payer CH]],"")</f>
        <v/>
      </c>
      <c r="U700" s="177"/>
      <c r="V700" s="192" t="s">
        <v>735</v>
      </c>
      <c r="W700" s="190"/>
      <c r="X700" s="187"/>
      <c r="Y700" s="181"/>
      <c r="Z700" s="379" t="str">
        <f>IF(Tableau3384[[#This Row],[Méthode du paiement]]="Mastercard","OUI","")</f>
        <v/>
      </c>
      <c r="AA700" s="180" t="s">
        <v>102</v>
      </c>
      <c r="AB700" s="435" t="s">
        <v>1770</v>
      </c>
    </row>
    <row r="701" spans="1:28" s="184" customFormat="1" hidden="1" x14ac:dyDescent="0.25">
      <c r="A701" s="182" t="s">
        <v>1753</v>
      </c>
      <c r="B701" s="185">
        <v>45596</v>
      </c>
      <c r="C701" s="185">
        <v>45602</v>
      </c>
      <c r="D701" s="186" t="s">
        <v>452</v>
      </c>
      <c r="E701" s="438">
        <v>340.25</v>
      </c>
      <c r="F701" s="195">
        <v>8.1</v>
      </c>
      <c r="G701" s="193"/>
      <c r="H701" s="136">
        <f>Tableau3384[[#This Row],[Montant
CHF]]+Tableau3384[[#This Row],[Abzug/Spesen
CHF]]</f>
        <v>340.25</v>
      </c>
      <c r="I701" s="188"/>
      <c r="J701" s="189"/>
      <c r="K701" s="189"/>
      <c r="L701" s="298"/>
      <c r="M701" s="194"/>
      <c r="N701" s="185">
        <v>45626</v>
      </c>
      <c r="O701" s="282">
        <f>IF(Tableau3384[[#This Row],[Date du paiement]]&gt;0,"",Tableau3384[[#This Row],[Montant
CHF]])</f>
        <v>340.25</v>
      </c>
      <c r="P701" s="287">
        <f ca="1">IF(Tableau3384[[#This Row],[Date du paiement]]="",$B$4-Tableau3384[[#This Row],[Écheance]],"")</f>
        <v>-8.5305746527810697</v>
      </c>
      <c r="Q701" s="168" t="str">
        <f ca="1">IF(Tableau3384[[#This Row],[Date du paiement]]="",IF(Tableau3384[[#This Row],[jours jusqu''à l''écheance]]&gt;0,Tableau3384[[#This Row],[Montant
CHF]],""),"")</f>
        <v/>
      </c>
      <c r="R701" s="298" t="str">
        <f ca="1">IF(Tableau3384[[#This Row],[Date du paiement]]="",IF(Tableau3384[[#This Row],[jours jusqu''à l''écheance]]-($B$4-$B$11-1)&gt;0,Tableau3384[[#This Row],[Montant
CHF]],""),"")</f>
        <v/>
      </c>
      <c r="S701" s="142"/>
      <c r="T701" s="168" t="str">
        <f>IF(Tableau3384[[#This Row],[Paiements prevus]]="oui",Tableau3384[[#This Row],[Montant prevu à payer CH]],"")</f>
        <v/>
      </c>
      <c r="U701" s="177"/>
      <c r="V701" s="192" t="s">
        <v>738</v>
      </c>
      <c r="W701" s="190"/>
      <c r="X701" s="187"/>
      <c r="Y701" s="181"/>
      <c r="Z701" s="379" t="str">
        <f>IF(Tableau3384[[#This Row],[Méthode du paiement]]="Mastercard","OUI","")</f>
        <v/>
      </c>
      <c r="AA701" s="180" t="s">
        <v>294</v>
      </c>
      <c r="AB701" s="180" t="s">
        <v>1754</v>
      </c>
    </row>
    <row r="702" spans="1:28" s="184" customFormat="1" hidden="1" x14ac:dyDescent="0.25">
      <c r="A702" s="182" t="s">
        <v>1757</v>
      </c>
      <c r="B702" s="185">
        <v>45596</v>
      </c>
      <c r="C702" s="185">
        <v>45602</v>
      </c>
      <c r="D702" s="186" t="s">
        <v>245</v>
      </c>
      <c r="E702" s="438">
        <f>Tableau3384[[#This Row],[Montant
EUR]]*Tableau3384[[#This Row],[Taux 
de change]]</f>
        <v>735.20579999999995</v>
      </c>
      <c r="F702" s="195">
        <v>0</v>
      </c>
      <c r="G702" s="193"/>
      <c r="H702" s="136">
        <f>Tableau3384[[#This Row],[Montant
CHF]]+Tableau3384[[#This Row],[Abzug/Spesen
CHF]]</f>
        <v>735.20579999999995</v>
      </c>
      <c r="I702" s="188">
        <v>1.02</v>
      </c>
      <c r="J702" s="189">
        <v>720.79</v>
      </c>
      <c r="K702" s="189"/>
      <c r="L702" s="298"/>
      <c r="M702" s="194"/>
      <c r="N702" s="185">
        <v>45626</v>
      </c>
      <c r="O702" s="282">
        <f>IF(Tableau3384[[#This Row],[Date du paiement]]&gt;0,"",Tableau3384[[#This Row],[Montant
CHF]])</f>
        <v>735.20579999999995</v>
      </c>
      <c r="P702" s="287">
        <f ca="1">IF(Tableau3384[[#This Row],[Date du paiement]]="",$B$4-Tableau3384[[#This Row],[Écheance]],"")</f>
        <v>-8.5305746527810697</v>
      </c>
      <c r="Q702" s="168" t="str">
        <f ca="1">IF(Tableau3384[[#This Row],[Date du paiement]]="",IF(Tableau3384[[#This Row],[jours jusqu''à l''écheance]]&gt;0,Tableau3384[[#This Row],[Montant
CHF]],""),"")</f>
        <v/>
      </c>
      <c r="R702" s="298" t="str">
        <f ca="1">IF(Tableau3384[[#This Row],[Date du paiement]]="",IF(Tableau3384[[#This Row],[jours jusqu''à l''écheance]]-($B$4-$B$11-1)&gt;0,Tableau3384[[#This Row],[Montant
CHF]],""),"")</f>
        <v/>
      </c>
      <c r="S702" s="142"/>
      <c r="T702" s="168" t="str">
        <f>IF(Tableau3384[[#This Row],[Paiements prevus]]="oui",Tableau3384[[#This Row],[Montant prevu à payer CH]],"")</f>
        <v/>
      </c>
      <c r="U702" s="177"/>
      <c r="V702" s="192" t="s">
        <v>737</v>
      </c>
      <c r="W702" s="190"/>
      <c r="X702" s="187"/>
      <c r="Y702" s="181"/>
      <c r="Z702" s="379" t="str">
        <f>IF(Tableau3384[[#This Row],[Méthode du paiement]]="Mastercard","OUI","")</f>
        <v/>
      </c>
      <c r="AA702" s="180" t="s">
        <v>11</v>
      </c>
      <c r="AB702" s="180" t="s">
        <v>1758</v>
      </c>
    </row>
    <row r="703" spans="1:28" s="184" customFormat="1" x14ac:dyDescent="0.25">
      <c r="A703" s="182" t="s">
        <v>1794</v>
      </c>
      <c r="B703" s="185">
        <v>45596</v>
      </c>
      <c r="C703" s="185">
        <v>45604</v>
      </c>
      <c r="D703" s="186" t="s">
        <v>162</v>
      </c>
      <c r="E703" s="438">
        <v>124.3</v>
      </c>
      <c r="F703" s="195">
        <v>8.1</v>
      </c>
      <c r="G703" s="193"/>
      <c r="H703" s="136">
        <f>Tableau3384[[#This Row],[Montant
CHF]]+Tableau3384[[#This Row],[Abzug/Spesen
CHF]]</f>
        <v>124.3</v>
      </c>
      <c r="I703" s="188"/>
      <c r="J703" s="189"/>
      <c r="K703" s="189"/>
      <c r="L703" s="298"/>
      <c r="M703" s="194"/>
      <c r="N703" s="185">
        <v>45626</v>
      </c>
      <c r="O703" s="282">
        <f>IF(Tableau3384[[#This Row],[Date du paiement]]&gt;0,"",Tableau3384[[#This Row],[Montant
CHF]])</f>
        <v>124.3</v>
      </c>
      <c r="P703" s="287">
        <f ca="1">IF(Tableau3384[[#This Row],[Date du paiement]]="",$B$4-Tableau3384[[#This Row],[Écheance]],"")</f>
        <v>-8.5305746527810697</v>
      </c>
      <c r="Q703" s="168" t="str">
        <f ca="1">IF(Tableau3384[[#This Row],[Date du paiement]]="",IF(Tableau3384[[#This Row],[jours jusqu''à l''écheance]]&gt;0,Tableau3384[[#This Row],[Montant
CHF]],""),"")</f>
        <v/>
      </c>
      <c r="R703" s="298" t="str">
        <f ca="1">IF(Tableau3384[[#This Row],[Date du paiement]]="",IF(Tableau3384[[#This Row],[jours jusqu''à l''écheance]]-($B$4-$B$11-1)&gt;0,Tableau3384[[#This Row],[Montant
CHF]],""),"")</f>
        <v/>
      </c>
      <c r="S703" s="142"/>
      <c r="T703" s="168" t="str">
        <f>IF(Tableau3384[[#This Row],[Paiements prevus]]="oui",Tableau3384[[#This Row],[Montant prevu à payer CH]],"")</f>
        <v/>
      </c>
      <c r="U703" s="177"/>
      <c r="V703" s="192" t="s">
        <v>735</v>
      </c>
      <c r="W703" s="190"/>
      <c r="X703" s="187"/>
      <c r="Y703" s="181"/>
      <c r="Z703" s="379" t="str">
        <f>IF(Tableau3384[[#This Row],[Méthode du paiement]]="Mastercard","OUI","")</f>
        <v/>
      </c>
      <c r="AA703" s="180" t="s">
        <v>43</v>
      </c>
      <c r="AB703" s="180" t="s">
        <v>712</v>
      </c>
    </row>
    <row r="704" spans="1:28" s="184" customFormat="1" hidden="1" x14ac:dyDescent="0.25">
      <c r="A704" s="182" t="s">
        <v>632</v>
      </c>
      <c r="B704" s="185">
        <v>45597</v>
      </c>
      <c r="C704" s="185">
        <v>45292</v>
      </c>
      <c r="D704" s="186" t="s">
        <v>3</v>
      </c>
      <c r="E704" s="438">
        <v>3438</v>
      </c>
      <c r="F704" s="195">
        <v>0</v>
      </c>
      <c r="G704" s="193"/>
      <c r="H704" s="136">
        <f>Tableau3384[[#This Row],[Montant
CHF]]+Tableau3384[[#This Row],[Abzug/Spesen
CHF]]</f>
        <v>3438</v>
      </c>
      <c r="I704" s="188"/>
      <c r="J704" s="189"/>
      <c r="K704" s="189"/>
      <c r="L704" s="298"/>
      <c r="M704" s="194"/>
      <c r="N704" s="185">
        <v>45597</v>
      </c>
      <c r="O704" s="282" t="str">
        <f>IF(Tableau3384[[#This Row],[Date du paiement]]&gt;0,"",Tableau3384[[#This Row],[Montant
CHF]])</f>
        <v/>
      </c>
      <c r="P704" s="474" t="str">
        <f>IF(Tableau3384[[#This Row],[Date du paiement]]="",$B$4-Tableau3384[[#This Row],[Écheance]],"")</f>
        <v/>
      </c>
      <c r="Q704" s="168" t="str">
        <f>IF(Tableau3384[[#This Row],[Date du paiement]]="",IF(Tableau3384[[#This Row],[jours jusqu''à l''écheance]]&gt;0,Tableau3384[[#This Row],[Montant
CHF]],""),"")</f>
        <v/>
      </c>
      <c r="R704" s="298" t="str">
        <f>IF(Tableau3384[[#This Row],[Date du paiement]]="",IF(Tableau3384[[#This Row],[jours jusqu''à l''écheance]]-($B$4-$B$11-1)&gt;0,Tableau3384[[#This Row],[Montant
CHF]],""),"")</f>
        <v/>
      </c>
      <c r="S704" s="142"/>
      <c r="T704" s="168" t="str">
        <f>IF(Tableau3384[[#This Row],[Paiements prevus]]="oui",Tableau3384[[#This Row],[Montant prevu à payer CH]],"")</f>
        <v/>
      </c>
      <c r="U704" s="177"/>
      <c r="V704" s="192" t="s">
        <v>735</v>
      </c>
      <c r="W704" s="190"/>
      <c r="X704" s="187">
        <v>45597</v>
      </c>
      <c r="Y704" s="181" t="s">
        <v>58</v>
      </c>
      <c r="Z704" s="447" t="str">
        <f>IF(Tableau3384[[#This Row],[Méthode du paiement]]="Mastercard","OUI","")</f>
        <v/>
      </c>
      <c r="AA704" s="180" t="s">
        <v>6</v>
      </c>
      <c r="AB704" s="180" t="s">
        <v>713</v>
      </c>
    </row>
    <row r="705" spans="1:28" s="184" customFormat="1" hidden="1" x14ac:dyDescent="0.25">
      <c r="A705" s="182">
        <v>1245742</v>
      </c>
      <c r="B705" s="185">
        <v>45597</v>
      </c>
      <c r="C705" s="185">
        <v>45292</v>
      </c>
      <c r="D705" s="186" t="s">
        <v>2</v>
      </c>
      <c r="E705" s="183">
        <v>1523.55</v>
      </c>
      <c r="F705" s="195">
        <v>8.1</v>
      </c>
      <c r="G705" s="193"/>
      <c r="H705" s="136">
        <f>Tableau3384[[#This Row],[Montant
CHF]]+Tableau3384[[#This Row],[Abzug/Spesen
CHF]]</f>
        <v>1523.55</v>
      </c>
      <c r="I705" s="188"/>
      <c r="J705" s="189"/>
      <c r="K705" s="189"/>
      <c r="L705" s="298"/>
      <c r="M705" s="194"/>
      <c r="N705" s="185">
        <v>45597</v>
      </c>
      <c r="O705" s="282" t="str">
        <f>IF(Tableau3384[[#This Row],[Date du paiement]]&gt;0,"",Tableau3384[[#This Row],[Montant
CHF]])</f>
        <v/>
      </c>
      <c r="P705" s="474" t="str">
        <f>IF(Tableau3384[[#This Row],[Date du paiement]]="",$B$4-Tableau3384[[#This Row],[Écheance]],"")</f>
        <v/>
      </c>
      <c r="Q705" s="168" t="str">
        <f>IF(Tableau3384[[#This Row],[Date du paiement]]="",IF(Tableau3384[[#This Row],[jours jusqu''à l''écheance]]&gt;0,Tableau3384[[#This Row],[Montant
CHF]],""),"")</f>
        <v/>
      </c>
      <c r="R705" s="298" t="str">
        <f>IF(Tableau3384[[#This Row],[Date du paiement]]="",IF(Tableau3384[[#This Row],[jours jusqu''à l''écheance]]-($B$4-$B$11-1)&gt;0,Tableau3384[[#This Row],[Montant
CHF]],""),"")</f>
        <v/>
      </c>
      <c r="S705" s="142"/>
      <c r="T705" s="168" t="str">
        <f>IF(Tableau3384[[#This Row],[Paiements prevus]]="oui",Tableau3384[[#This Row],[Montant prevu à payer CH]],"")</f>
        <v/>
      </c>
      <c r="U705" s="177"/>
      <c r="V705" s="192" t="s">
        <v>735</v>
      </c>
      <c r="W705" s="190"/>
      <c r="X705" s="187">
        <v>45600</v>
      </c>
      <c r="Y705" s="181" t="s">
        <v>58</v>
      </c>
      <c r="Z705" s="447" t="str">
        <f>IF(Tableau3384[[#This Row],[Méthode du paiement]]="Mastercard","OUI","")</f>
        <v/>
      </c>
      <c r="AA705" s="180" t="s">
        <v>1162</v>
      </c>
      <c r="AB705" s="180" t="s">
        <v>713</v>
      </c>
    </row>
    <row r="706" spans="1:28" s="184" customFormat="1" hidden="1" x14ac:dyDescent="0.25">
      <c r="A706" s="182">
        <v>214112</v>
      </c>
      <c r="B706" s="185">
        <v>45597</v>
      </c>
      <c r="C706" s="185">
        <v>45425</v>
      </c>
      <c r="D706" s="186" t="s">
        <v>7</v>
      </c>
      <c r="E706" s="183">
        <v>11585</v>
      </c>
      <c r="F706" s="195">
        <v>0</v>
      </c>
      <c r="G706" s="193"/>
      <c r="H706" s="136">
        <f>Tableau3384[[#This Row],[Montant
CHF]]+Tableau3384[[#This Row],[Abzug/Spesen
CHF]]</f>
        <v>11585</v>
      </c>
      <c r="I706" s="188"/>
      <c r="J706" s="189"/>
      <c r="K706" s="189"/>
      <c r="L706" s="298"/>
      <c r="M706" s="194"/>
      <c r="N706" s="185">
        <v>45597</v>
      </c>
      <c r="O706" s="282" t="str">
        <f>IF(Tableau3384[[#This Row],[Date du paiement]]&gt;0,"",Tableau3384[[#This Row],[Montant
CHF]])</f>
        <v/>
      </c>
      <c r="P706" s="474" t="str">
        <f>IF(Tableau3384[[#This Row],[Date du paiement]]="",$B$4-Tableau3384[[#This Row],[Écheance]],"")</f>
        <v/>
      </c>
      <c r="Q706" s="168" t="str">
        <f>IF(Tableau3384[[#This Row],[Date du paiement]]="",IF(Tableau3384[[#This Row],[jours jusqu''à l''écheance]]&gt;0,Tableau3384[[#This Row],[Montant
CHF]],""),"")</f>
        <v/>
      </c>
      <c r="R706" s="298" t="str">
        <f>IF(Tableau3384[[#This Row],[Date du paiement]]="",IF(Tableau3384[[#This Row],[jours jusqu''à l''écheance]]-($B$4-$B$11-1)&gt;0,Tableau3384[[#This Row],[Montant
CHF]],""),"")</f>
        <v/>
      </c>
      <c r="S706" s="142"/>
      <c r="T706" s="168" t="str">
        <f>IF(Tableau3384[[#This Row],[Paiements prevus]]="oui",Tableau3384[[#This Row],[Montant prevu à payer CH]],"")</f>
        <v/>
      </c>
      <c r="U706" s="177"/>
      <c r="V706" s="192" t="s">
        <v>735</v>
      </c>
      <c r="W706" s="190"/>
      <c r="X706" s="187">
        <v>45597</v>
      </c>
      <c r="Y706" s="181" t="s">
        <v>58</v>
      </c>
      <c r="Z706" s="447" t="str">
        <f>IF(Tableau3384[[#This Row],[Méthode du paiement]]="Mastercard","OUI","")</f>
        <v/>
      </c>
      <c r="AA706" s="180" t="s">
        <v>6</v>
      </c>
      <c r="AB706" s="180" t="s">
        <v>713</v>
      </c>
    </row>
    <row r="707" spans="1:28" s="184" customFormat="1" hidden="1" x14ac:dyDescent="0.25">
      <c r="A707" s="182" t="s">
        <v>1745</v>
      </c>
      <c r="B707" s="185">
        <v>45597</v>
      </c>
      <c r="C707" s="185">
        <v>45597</v>
      </c>
      <c r="D707" s="186" t="s">
        <v>362</v>
      </c>
      <c r="E707" s="183">
        <v>4688.3</v>
      </c>
      <c r="F707" s="195">
        <v>8.1</v>
      </c>
      <c r="G707" s="193"/>
      <c r="H707" s="136">
        <f>Tableau3384[[#This Row],[Montant
CHF]]+Tableau3384[[#This Row],[Abzug/Spesen
CHF]]</f>
        <v>4688.3</v>
      </c>
      <c r="I707" s="188"/>
      <c r="J707" s="189"/>
      <c r="K707" s="189"/>
      <c r="L707" s="298"/>
      <c r="M707" s="194" t="s">
        <v>1746</v>
      </c>
      <c r="N707" s="185">
        <v>45626</v>
      </c>
      <c r="O707" s="282">
        <f>IF(Tableau3384[[#This Row],[Date du paiement]]&gt;0,"",Tableau3384[[#This Row],[Montant
CHF]])</f>
        <v>4688.3</v>
      </c>
      <c r="P707" s="287">
        <f ca="1">IF(Tableau3384[[#This Row],[Date du paiement]]="",$B$4-Tableau3384[[#This Row],[Écheance]],"")</f>
        <v>-8.5305746527810697</v>
      </c>
      <c r="Q707" s="168" t="str">
        <f ca="1">IF(Tableau3384[[#This Row],[Date du paiement]]="",IF(Tableau3384[[#This Row],[jours jusqu''à l''écheance]]&gt;0,Tableau3384[[#This Row],[Montant
CHF]],""),"")</f>
        <v/>
      </c>
      <c r="R707" s="298" t="str">
        <f ca="1">IF(Tableau3384[[#This Row],[Date du paiement]]="",IF(Tableau3384[[#This Row],[jours jusqu''à l''écheance]]-($B$4-$B$11-1)&gt;0,Tableau3384[[#This Row],[Montant
CHF]],""),"")</f>
        <v/>
      </c>
      <c r="S707" s="142"/>
      <c r="T707" s="168" t="str">
        <f>IF(Tableau3384[[#This Row],[Paiements prevus]]="oui",Tableau3384[[#This Row],[Montant prevu à payer CH]],"")</f>
        <v/>
      </c>
      <c r="U707" s="177"/>
      <c r="V707" s="192" t="s">
        <v>735</v>
      </c>
      <c r="W707" s="190"/>
      <c r="X707" s="187"/>
      <c r="Y707" s="181"/>
      <c r="Z707" s="379" t="str">
        <f>IF(Tableau3384[[#This Row],[Méthode du paiement]]="Mastercard","OUI","")</f>
        <v/>
      </c>
      <c r="AA707" s="180" t="s">
        <v>4</v>
      </c>
      <c r="AB707" s="180" t="s">
        <v>712</v>
      </c>
    </row>
    <row r="708" spans="1:28" s="184" customFormat="1" hidden="1" x14ac:dyDescent="0.25">
      <c r="A708" s="182" t="s">
        <v>1644</v>
      </c>
      <c r="B708" s="185">
        <v>45581</v>
      </c>
      <c r="C708" s="185">
        <v>45581</v>
      </c>
      <c r="D708" s="186" t="s">
        <v>25</v>
      </c>
      <c r="E708" s="183">
        <v>40</v>
      </c>
      <c r="F708" s="195">
        <v>0</v>
      </c>
      <c r="G708" s="193"/>
      <c r="H708" s="136">
        <f>Tableau3384[[#This Row],[Montant
CHF]]+Tableau3384[[#This Row],[Abzug/Spesen
CHF]]</f>
        <v>40</v>
      </c>
      <c r="I708" s="188"/>
      <c r="J708" s="189"/>
      <c r="K708" s="189"/>
      <c r="L708" s="298"/>
      <c r="M708" s="194"/>
      <c r="N708" s="185">
        <v>45602</v>
      </c>
      <c r="O708" s="282" t="str">
        <f>IF(Tableau3384[[#This Row],[Date du paiement]]&gt;0,"",Tableau3384[[#This Row],[Montant
CHF]])</f>
        <v/>
      </c>
      <c r="P708" s="287" t="str">
        <f>IF(Tableau3384[[#This Row],[Date du paiement]]="",$B$4-Tableau3384[[#This Row],[Écheance]],"")</f>
        <v/>
      </c>
      <c r="Q708" s="168" t="str">
        <f>IF(Tableau3384[[#This Row],[Date du paiement]]="",IF(Tableau3384[[#This Row],[jours jusqu''à l''écheance]]&gt;0,Tableau3384[[#This Row],[Montant
CHF]],""),"")</f>
        <v/>
      </c>
      <c r="R708" s="298" t="str">
        <f>IF(Tableau3384[[#This Row],[Date du paiement]]="",IF(Tableau3384[[#This Row],[jours jusqu''à l''écheance]]-($B$4-$B$11-1)&gt;0,Tableau3384[[#This Row],[Montant
CHF]],""),"")</f>
        <v/>
      </c>
      <c r="S708" s="142"/>
      <c r="T708" s="168" t="str">
        <f>IF(Tableau3384[[#This Row],[Paiements prevus]]="oui",Tableau3384[[#This Row],[Montant prevu à payer CH]],"")</f>
        <v/>
      </c>
      <c r="U708" s="177"/>
      <c r="V708" s="192" t="s">
        <v>738</v>
      </c>
      <c r="W708" s="190"/>
      <c r="X708" s="187">
        <v>45615</v>
      </c>
      <c r="Y708" s="181" t="s">
        <v>58</v>
      </c>
      <c r="Z708" s="379" t="str">
        <f>IF(Tableau3384[[#This Row],[Méthode du paiement]]="Mastercard","OUI","")</f>
        <v/>
      </c>
      <c r="AA708" s="180" t="s">
        <v>26</v>
      </c>
      <c r="AB708" s="180" t="s">
        <v>1645</v>
      </c>
    </row>
    <row r="709" spans="1:28" s="184" customFormat="1" hidden="1" x14ac:dyDescent="0.25">
      <c r="A709" s="182" t="s">
        <v>1654</v>
      </c>
      <c r="B709" s="185">
        <v>45597</v>
      </c>
      <c r="C709" s="185">
        <v>45603</v>
      </c>
      <c r="D709" s="186" t="s">
        <v>220</v>
      </c>
      <c r="E709" s="183">
        <v>2462.85</v>
      </c>
      <c r="F709" s="195">
        <v>8.1</v>
      </c>
      <c r="G709" s="193"/>
      <c r="H709" s="136">
        <f>Tableau3384[[#This Row],[Montant
CHF]]+Tableau3384[[#This Row],[Abzug/Spesen
CHF]]</f>
        <v>2462.85</v>
      </c>
      <c r="I709" s="188"/>
      <c r="J709" s="189"/>
      <c r="K709" s="189"/>
      <c r="L709" s="298"/>
      <c r="M709" s="445"/>
      <c r="N709" s="185">
        <v>45626</v>
      </c>
      <c r="O709" s="282">
        <f>IF(Tableau3384[[#This Row],[Date du paiement]]&gt;0,"",Tableau3384[[#This Row],[Montant
CHF]])</f>
        <v>2462.85</v>
      </c>
      <c r="P709" s="287">
        <f ca="1">IF(Tableau3384[[#This Row],[Date du paiement]]="",$B$4-Tableau3384[[#This Row],[Écheance]],"")</f>
        <v>-8.5305746527810697</v>
      </c>
      <c r="Q709" s="168" t="str">
        <f ca="1">IF(Tableau3384[[#This Row],[Date du paiement]]="",IF(Tableau3384[[#This Row],[jours jusqu''à l''écheance]]&gt;0,Tableau3384[[#This Row],[Montant
CHF]],""),"")</f>
        <v/>
      </c>
      <c r="R709" s="298" t="str">
        <f ca="1">IF(Tableau3384[[#This Row],[Date du paiement]]="",IF(Tableau3384[[#This Row],[jours jusqu''à l''écheance]]-($B$4-$B$11-1)&gt;0,Tableau3384[[#This Row],[Montant
CHF]],""),"")</f>
        <v/>
      </c>
      <c r="S709" s="142"/>
      <c r="T709" s="168" t="str">
        <f>IF(Tableau3384[[#This Row],[Paiements prevus]]="oui",Tableau3384[[#This Row],[Montant prevu à payer CH]],"")</f>
        <v/>
      </c>
      <c r="U709" s="177"/>
      <c r="V709" s="192" t="s">
        <v>735</v>
      </c>
      <c r="W709" s="190"/>
      <c r="X709" s="187"/>
      <c r="Y709" s="181"/>
      <c r="Z709" s="379" t="str">
        <f>IF(Tableau3384[[#This Row],[Méthode du paiement]]="Mastercard","OUI","")</f>
        <v/>
      </c>
      <c r="AA709" s="180" t="s">
        <v>221</v>
      </c>
      <c r="AB709" s="180" t="s">
        <v>712</v>
      </c>
    </row>
    <row r="710" spans="1:28" s="184" customFormat="1" hidden="1" x14ac:dyDescent="0.25">
      <c r="A710" s="182" t="s">
        <v>1668</v>
      </c>
      <c r="B710" s="185">
        <v>45583</v>
      </c>
      <c r="C710" s="185">
        <v>45586</v>
      </c>
      <c r="D710" s="186" t="s">
        <v>1667</v>
      </c>
      <c r="E710" s="183">
        <v>121.65</v>
      </c>
      <c r="F710" s="195">
        <v>0</v>
      </c>
      <c r="G710" s="193"/>
      <c r="H710" s="136">
        <f>Tableau3384[[#This Row],[Montant
CHF]]+Tableau3384[[#This Row],[Abzug/Spesen
CHF]]</f>
        <v>121.65</v>
      </c>
      <c r="I710" s="188"/>
      <c r="J710" s="189"/>
      <c r="K710" s="189"/>
      <c r="L710" s="298"/>
      <c r="M710" s="194"/>
      <c r="N710" s="185">
        <v>45583</v>
      </c>
      <c r="O710" s="282" t="str">
        <f>IF(Tableau3384[[#This Row],[Date du paiement]]&gt;0,"",Tableau3384[[#This Row],[Montant
CHF]])</f>
        <v/>
      </c>
      <c r="P710" s="475" t="str">
        <f>IF(Tableau3384[[#This Row],[Date du paiement]]="",$B$4-Tableau3384[[#This Row],[Écheance]],"")</f>
        <v/>
      </c>
      <c r="Q710" s="168" t="str">
        <f>IF(Tableau3384[[#This Row],[Date du paiement]]="",IF(Tableau3384[[#This Row],[jours jusqu''à l''écheance]]&gt;0,Tableau3384[[#This Row],[Montant
CHF]],""),"")</f>
        <v/>
      </c>
      <c r="R710" s="298" t="str">
        <f>IF(Tableau3384[[#This Row],[Date du paiement]]="",IF(Tableau3384[[#This Row],[jours jusqu''à l''écheance]]-($B$4-$B$11-1)&gt;0,Tableau3384[[#This Row],[Montant
CHF]],""),"")</f>
        <v/>
      </c>
      <c r="S710" s="142"/>
      <c r="T710" s="168" t="str">
        <f>IF(Tableau3384[[#This Row],[Paiements prevus]]="oui",Tableau3384[[#This Row],[Montant prevu à payer CH]],"")</f>
        <v/>
      </c>
      <c r="U710" s="177"/>
      <c r="V710" s="192" t="s">
        <v>738</v>
      </c>
      <c r="W710" s="190"/>
      <c r="X710" s="187">
        <v>45615</v>
      </c>
      <c r="Y710" s="181" t="s">
        <v>58</v>
      </c>
      <c r="Z710" s="500" t="str">
        <f>IF(Tableau3384[[#This Row],[Méthode du paiement]]="Mastercard","OUI","")</f>
        <v/>
      </c>
      <c r="AA710" s="180" t="s">
        <v>26</v>
      </c>
      <c r="AB710" s="180" t="s">
        <v>1669</v>
      </c>
    </row>
    <row r="711" spans="1:28" s="184" customFormat="1" hidden="1" x14ac:dyDescent="0.25">
      <c r="A711" s="182" t="s">
        <v>1795</v>
      </c>
      <c r="B711" s="185">
        <v>45597</v>
      </c>
      <c r="C711" s="185">
        <v>45602</v>
      </c>
      <c r="D711" s="186" t="s">
        <v>130</v>
      </c>
      <c r="E711" s="183">
        <v>72.95</v>
      </c>
      <c r="F711" s="195">
        <v>8.1</v>
      </c>
      <c r="G711" s="193"/>
      <c r="H711" s="136">
        <f>Tableau3384[[#This Row],[Montant
CHF]]+Tableau3384[[#This Row],[Abzug/Spesen
CHF]]</f>
        <v>72.95</v>
      </c>
      <c r="I711" s="188"/>
      <c r="J711" s="189"/>
      <c r="K711" s="189"/>
      <c r="L711" s="298"/>
      <c r="M711" s="194"/>
      <c r="N711" s="185">
        <v>45626</v>
      </c>
      <c r="O711" s="282">
        <f>IF(Tableau3384[[#This Row],[Date du paiement]]&gt;0,"",Tableau3384[[#This Row],[Montant
CHF]])</f>
        <v>72.95</v>
      </c>
      <c r="P711" s="287">
        <f ca="1">IF(Tableau3384[[#This Row],[Date du paiement]]="",$B$4-Tableau3384[[#This Row],[Écheance]],"")</f>
        <v>-8.5305746527810697</v>
      </c>
      <c r="Q711" s="168" t="str">
        <f ca="1">IF(Tableau3384[[#This Row],[Date du paiement]]="",IF(Tableau3384[[#This Row],[jours jusqu''à l''écheance]]&gt;0,Tableau3384[[#This Row],[Montant
CHF]],""),"")</f>
        <v/>
      </c>
      <c r="R711" s="298" t="str">
        <f ca="1">IF(Tableau3384[[#This Row],[Date du paiement]]="",IF(Tableau3384[[#This Row],[jours jusqu''à l''écheance]]-($B$4-$B$11-1)&gt;0,Tableau3384[[#This Row],[Montant
CHF]],""),"")</f>
        <v/>
      </c>
      <c r="S711" s="142"/>
      <c r="T711" s="168" t="str">
        <f>IF(Tableau3384[[#This Row],[Paiements prevus]]="oui",Tableau3384[[#This Row],[Montant prevu à payer CH]],"")</f>
        <v/>
      </c>
      <c r="U711" s="177"/>
      <c r="V711" s="192" t="s">
        <v>735</v>
      </c>
      <c r="W711" s="190"/>
      <c r="X711" s="187"/>
      <c r="Y711" s="181"/>
      <c r="Z711" s="379" t="str">
        <f>IF(Tableau3384[[#This Row],[Méthode du paiement]]="Mastercard","OUI","")</f>
        <v/>
      </c>
      <c r="AA711" s="180" t="s">
        <v>30</v>
      </c>
      <c r="AB711" s="180" t="s">
        <v>712</v>
      </c>
    </row>
    <row r="712" spans="1:28" s="184" customFormat="1" hidden="1" x14ac:dyDescent="0.25">
      <c r="A712" s="182" t="s">
        <v>1796</v>
      </c>
      <c r="B712" s="185">
        <v>45597</v>
      </c>
      <c r="C712" s="185">
        <v>45597</v>
      </c>
      <c r="D712" s="186" t="s">
        <v>46</v>
      </c>
      <c r="E712" s="183">
        <v>597.79</v>
      </c>
      <c r="F712" s="195">
        <v>8.1</v>
      </c>
      <c r="G712" s="193"/>
      <c r="H712" s="136">
        <f>Tableau3384[[#This Row],[Montant
CHF]]+Tableau3384[[#This Row],[Abzug/Spesen
CHF]]</f>
        <v>597.79</v>
      </c>
      <c r="I712" s="188"/>
      <c r="J712" s="189"/>
      <c r="K712" s="189"/>
      <c r="L712" s="298"/>
      <c r="M712" s="194"/>
      <c r="N712" s="185">
        <v>45627</v>
      </c>
      <c r="O712" s="282">
        <f>IF(Tableau3384[[#This Row],[Date du paiement]]&gt;0,"",Tableau3384[[#This Row],[Montant
CHF]])</f>
        <v>597.79</v>
      </c>
      <c r="P712" s="287">
        <f ca="1">IF(Tableau3384[[#This Row],[Date du paiement]]="",$B$4-Tableau3384[[#This Row],[Écheance]],"")</f>
        <v>-9.5305746527810697</v>
      </c>
      <c r="Q712" s="168" t="str">
        <f ca="1">IF(Tableau3384[[#This Row],[Date du paiement]]="",IF(Tableau3384[[#This Row],[jours jusqu''à l''écheance]]&gt;0,Tableau3384[[#This Row],[Montant
CHF]],""),"")</f>
        <v/>
      </c>
      <c r="R712" s="298" t="str">
        <f ca="1">IF(Tableau3384[[#This Row],[Date du paiement]]="",IF(Tableau3384[[#This Row],[jours jusqu''à l''écheance]]-($B$4-$B$11-1)&gt;0,Tableau3384[[#This Row],[Montant
CHF]],""),"")</f>
        <v/>
      </c>
      <c r="S712" s="142"/>
      <c r="T712" s="168" t="str">
        <f>IF(Tableau3384[[#This Row],[Paiements prevus]]="oui",Tableau3384[[#This Row],[Montant prevu à payer CH]],"")</f>
        <v/>
      </c>
      <c r="U712" s="177"/>
      <c r="V712" s="192" t="s">
        <v>735</v>
      </c>
      <c r="W712" s="190"/>
      <c r="X712" s="187"/>
      <c r="Y712" s="181"/>
      <c r="Z712" s="379" t="str">
        <f>IF(Tableau3384[[#This Row],[Méthode du paiement]]="Mastercard","OUI","")</f>
        <v/>
      </c>
      <c r="AA712" s="180" t="s">
        <v>30</v>
      </c>
      <c r="AB712" s="180" t="s">
        <v>713</v>
      </c>
    </row>
    <row r="713" spans="1:28" s="184" customFormat="1" x14ac:dyDescent="0.25">
      <c r="A713" s="182" t="s">
        <v>82</v>
      </c>
      <c r="B713" s="185">
        <v>45598</v>
      </c>
      <c r="C713" s="185">
        <v>45610</v>
      </c>
      <c r="D713" s="186" t="s">
        <v>83</v>
      </c>
      <c r="E713" s="183">
        <v>785.2</v>
      </c>
      <c r="F713" s="195">
        <v>0</v>
      </c>
      <c r="G713" s="193"/>
      <c r="H713" s="136">
        <f>Tableau3384[[#This Row],[Montant
CHF]]+Tableau3384[[#This Row],[Abzug/Spesen
CHF]]</f>
        <v>785.2</v>
      </c>
      <c r="I713" s="188"/>
      <c r="J713" s="189"/>
      <c r="K713" s="189"/>
      <c r="L713" s="298"/>
      <c r="M713" s="194"/>
      <c r="N713" s="185">
        <v>45292</v>
      </c>
      <c r="O713" s="282">
        <f>IF(Tableau3384[[#This Row],[Date du paiement]]&gt;0,"",Tableau3384[[#This Row],[Montant
CHF]])</f>
        <v>785.2</v>
      </c>
      <c r="P713" s="287">
        <f ca="1">IF(Tableau3384[[#This Row],[Date du paiement]]="",$B$4-Tableau3384[[#This Row],[Écheance]],"")</f>
        <v>325.46942534721893</v>
      </c>
      <c r="Q713" s="168">
        <f ca="1">IF(Tableau3384[[#This Row],[Date du paiement]]="",IF(Tableau3384[[#This Row],[jours jusqu''à l''écheance]]&gt;0,Tableau3384[[#This Row],[Montant
CHF]],""),"")</f>
        <v>785.2</v>
      </c>
      <c r="R713" s="298">
        <f ca="1">IF(Tableau3384[[#This Row],[Date du paiement]]="",IF(Tableau3384[[#This Row],[jours jusqu''à l''écheance]]&gt;0,Tableau3384[[#This Row],[Montant
CHF]],""),"")</f>
        <v>785.2</v>
      </c>
      <c r="S713" s="142"/>
      <c r="T713" s="168" t="str">
        <f>IF(Tableau3384[[#This Row],[Paiements prevus]]="oui",Tableau3384[[#This Row],[Montant prevu à payer CH]],"")</f>
        <v/>
      </c>
      <c r="U713" s="177"/>
      <c r="V713" s="192" t="s">
        <v>735</v>
      </c>
      <c r="W713" s="190"/>
      <c r="X713" s="187"/>
      <c r="Y713" s="181"/>
      <c r="Z713" s="379" t="str">
        <f>IF(Tableau3384[[#This Row],[Méthode du paiement]]="Mastercard","OUI","")</f>
        <v/>
      </c>
      <c r="AA713" s="180" t="s">
        <v>43</v>
      </c>
      <c r="AB713" s="180" t="s">
        <v>1825</v>
      </c>
    </row>
    <row r="714" spans="1:28" s="184" customFormat="1" x14ac:dyDescent="0.25">
      <c r="A714" s="182" t="s">
        <v>1826</v>
      </c>
      <c r="B714" s="185">
        <v>45598</v>
      </c>
      <c r="C714" s="185">
        <v>45610</v>
      </c>
      <c r="D714" s="186" t="s">
        <v>83</v>
      </c>
      <c r="E714" s="183">
        <v>2608</v>
      </c>
      <c r="F714" s="195">
        <v>0</v>
      </c>
      <c r="G714" s="193"/>
      <c r="H714" s="136">
        <f>Tableau3384[[#This Row],[Montant
CHF]]+Tableau3384[[#This Row],[Abzug/Spesen
CHF]]</f>
        <v>2608</v>
      </c>
      <c r="I714" s="188"/>
      <c r="J714" s="189"/>
      <c r="K714" s="189"/>
      <c r="L714" s="298"/>
      <c r="M714" s="194"/>
      <c r="N714" s="185">
        <v>45658</v>
      </c>
      <c r="O714" s="282">
        <f>IF(Tableau3384[[#This Row],[Date du paiement]]&gt;0,"",Tableau3384[[#This Row],[Montant
CHF]])</f>
        <v>2608</v>
      </c>
      <c r="P714" s="475">
        <f ca="1">IF(Tableau3384[[#This Row],[Date du paiement]]="",$B$4-Tableau3384[[#This Row],[Écheance]],"")</f>
        <v>-40.53057465278107</v>
      </c>
      <c r="Q714" s="168" t="str">
        <f ca="1">IF(Tableau3384[[#This Row],[Date du paiement]]="",IF(Tableau3384[[#This Row],[jours jusqu''à l''écheance]]&gt;0,Tableau3384[[#This Row],[Montant
CHF]],""),"")</f>
        <v/>
      </c>
      <c r="R714" s="298" t="str">
        <f ca="1">IF(Tableau3384[[#This Row],[Date du paiement]]="",IF(Tableau3384[[#This Row],[jours jusqu''à l''écheance]]&gt;0,Tableau3384[[#This Row],[Montant
CHF]],""),"")</f>
        <v/>
      </c>
      <c r="S714" s="142"/>
      <c r="T714" s="168" t="str">
        <f>IF(Tableau3384[[#This Row],[Paiements prevus]]="oui",Tableau3384[[#This Row],[Montant prevu à payer CH]],"")</f>
        <v/>
      </c>
      <c r="U714" s="177"/>
      <c r="V714" s="192" t="s">
        <v>735</v>
      </c>
      <c r="W714" s="190"/>
      <c r="X714" s="187"/>
      <c r="Y714" s="181"/>
      <c r="Z714" s="500" t="str">
        <f>IF(Tableau3384[[#This Row],[Méthode du paiement]]="Mastercard","OUI","")</f>
        <v/>
      </c>
      <c r="AA714" s="180" t="s">
        <v>43</v>
      </c>
      <c r="AB714" s="180" t="s">
        <v>1827</v>
      </c>
    </row>
    <row r="715" spans="1:28" s="184" customFormat="1" hidden="1" x14ac:dyDescent="0.25">
      <c r="A715" s="182" t="s">
        <v>1763</v>
      </c>
      <c r="B715" s="185">
        <v>45599</v>
      </c>
      <c r="C715" s="185">
        <v>45602</v>
      </c>
      <c r="D715" s="186" t="s">
        <v>48</v>
      </c>
      <c r="E715" s="183">
        <v>52.3</v>
      </c>
      <c r="F715" s="195">
        <v>8.1</v>
      </c>
      <c r="G715" s="193"/>
      <c r="H715" s="136">
        <f>Tableau3384[[#This Row],[Montant
CHF]]+Tableau3384[[#This Row],[Abzug/Spesen
CHF]]</f>
        <v>52.3</v>
      </c>
      <c r="I715" s="188"/>
      <c r="J715" s="189"/>
      <c r="K715" s="189"/>
      <c r="L715" s="298"/>
      <c r="M715" s="194"/>
      <c r="N715" s="185">
        <v>45619</v>
      </c>
      <c r="O715" s="282">
        <f>IF(Tableau3384[[#This Row],[Date du paiement]]&gt;0,"",Tableau3384[[#This Row],[Montant
CHF]])</f>
        <v>52.3</v>
      </c>
      <c r="P715" s="475">
        <f ca="1">IF(Tableau3384[[#This Row],[Date du paiement]]="",$B$4-Tableau3384[[#This Row],[Écheance]],"")</f>
        <v>-1.5305746527810697</v>
      </c>
      <c r="Q715" s="168" t="str">
        <f ca="1">IF(Tableau3384[[#This Row],[Date du paiement]]="",IF(Tableau3384[[#This Row],[jours jusqu''à l''écheance]]&gt;0,Tableau3384[[#This Row],[Montant
CHF]],""),"")</f>
        <v/>
      </c>
      <c r="R715" s="298">
        <f ca="1">IF(Tableau3384[[#This Row],[Date du paiement]]="",IF(Tableau3384[[#This Row],[jours jusqu''à l''écheance]]-($B$4-$B$11-1)&gt;0,Tableau3384[[#This Row],[Montant
CHF]],""),"")</f>
        <v>52.3</v>
      </c>
      <c r="S715" s="142"/>
      <c r="T715" s="168" t="str">
        <f>IF(Tableau3384[[#This Row],[Paiements prevus]]="oui",Tableau3384[[#This Row],[Montant prevu à payer CH]],"")</f>
        <v/>
      </c>
      <c r="U715" s="177"/>
      <c r="V715" s="192" t="s">
        <v>735</v>
      </c>
      <c r="W715" s="190"/>
      <c r="X715" s="187"/>
      <c r="Y715" s="181"/>
      <c r="Z715" s="500" t="str">
        <f>IF(Tableau3384[[#This Row],[Méthode du paiement]]="Mastercard","OUI","")</f>
        <v/>
      </c>
      <c r="AA715" s="180" t="s">
        <v>39</v>
      </c>
      <c r="AB715" s="180" t="s">
        <v>712</v>
      </c>
    </row>
    <row r="716" spans="1:28" s="184" customFormat="1" hidden="1" x14ac:dyDescent="0.25">
      <c r="A716" s="182" t="s">
        <v>1764</v>
      </c>
      <c r="B716" s="185">
        <v>45600</v>
      </c>
      <c r="C716" s="185">
        <v>45602</v>
      </c>
      <c r="D716" s="186" t="s">
        <v>216</v>
      </c>
      <c r="E716" s="183">
        <v>1614.4</v>
      </c>
      <c r="F716" s="195">
        <v>100</v>
      </c>
      <c r="G716" s="193"/>
      <c r="H716" s="136">
        <f>Tableau3384[[#This Row],[Montant
CHF]]+Tableau3384[[#This Row],[Abzug/Spesen
CHF]]</f>
        <v>1614.4</v>
      </c>
      <c r="I716" s="188"/>
      <c r="J716" s="189"/>
      <c r="K716" s="189"/>
      <c r="L716" s="298"/>
      <c r="M716" s="194"/>
      <c r="N716" s="185">
        <v>45660</v>
      </c>
      <c r="O716" s="282">
        <f>IF(Tableau3384[[#This Row],[Date du paiement]]&gt;0,"",Tableau3384[[#This Row],[Montant
CHF]])</f>
        <v>1614.4</v>
      </c>
      <c r="P716" s="475">
        <f ca="1">IF(Tableau3384[[#This Row],[Date du paiement]]="",$B$4-Tableau3384[[#This Row],[Écheance]],"")</f>
        <v>-42.53057465278107</v>
      </c>
      <c r="Q716" s="168" t="str">
        <f ca="1">IF(Tableau3384[[#This Row],[Date du paiement]]="",IF(Tableau3384[[#This Row],[jours jusqu''à l''écheance]]&gt;0,Tableau3384[[#This Row],[Montant
CHF]],""),"")</f>
        <v/>
      </c>
      <c r="R716" s="298" t="str">
        <f ca="1">IF(Tableau3384[[#This Row],[Date du paiement]]="",IF(Tableau3384[[#This Row],[jours jusqu''à l''écheance]]-($B$4-$B$11-1)&gt;0,Tableau3384[[#This Row],[Montant
CHF]],""),"")</f>
        <v/>
      </c>
      <c r="S716" s="142"/>
      <c r="T716" s="168" t="str">
        <f>IF(Tableau3384[[#This Row],[Paiements prevus]]="oui",Tableau3384[[#This Row],[Montant prevu à payer CH]],"")</f>
        <v/>
      </c>
      <c r="U716" s="177"/>
      <c r="V716" s="192" t="s">
        <v>736</v>
      </c>
      <c r="W716" s="190"/>
      <c r="X716" s="187"/>
      <c r="Y716" s="181"/>
      <c r="Z716" s="500" t="str">
        <f>IF(Tableau3384[[#This Row],[Méthode du paiement]]="Mastercard","OUI","")</f>
        <v/>
      </c>
      <c r="AA716" s="180" t="s">
        <v>604</v>
      </c>
      <c r="AB716" s="180" t="s">
        <v>1724</v>
      </c>
    </row>
    <row r="717" spans="1:28" s="184" customFormat="1" hidden="1" x14ac:dyDescent="0.25">
      <c r="A717" s="437" t="s">
        <v>1766</v>
      </c>
      <c r="B717" s="439">
        <v>45600</v>
      </c>
      <c r="C717" s="439">
        <v>45602</v>
      </c>
      <c r="D717" s="440" t="s">
        <v>117</v>
      </c>
      <c r="E717" s="438">
        <f>Tableau3384[[#This Row],[Montant
EUR]]*Tableau3384[[#This Row],[Taux 
de change]]</f>
        <v>8297.7000000000007</v>
      </c>
      <c r="F717" s="195">
        <v>0</v>
      </c>
      <c r="G717" s="193"/>
      <c r="H717" s="136">
        <f>Tableau3384[[#This Row],[Montant
CHF]]+Tableau3384[[#This Row],[Abzug/Spesen
CHF]]</f>
        <v>8297.7000000000007</v>
      </c>
      <c r="I717" s="188">
        <v>1.02</v>
      </c>
      <c r="J717" s="189">
        <v>8135</v>
      </c>
      <c r="K717" s="189"/>
      <c r="L717" s="298"/>
      <c r="M717" s="445"/>
      <c r="N717" s="439">
        <v>45630</v>
      </c>
      <c r="O717" s="282">
        <f>IF(Tableau3384[[#This Row],[Date du paiement]]&gt;0,"",Tableau3384[[#This Row],[Montant
CHF]])</f>
        <v>8297.7000000000007</v>
      </c>
      <c r="P717" s="475">
        <f ca="1">IF(Tableau3384[[#This Row],[Date du paiement]]="",$B$4-Tableau3384[[#This Row],[Écheance]],"")</f>
        <v>-12.53057465278107</v>
      </c>
      <c r="Q717" s="168" t="str">
        <f ca="1">IF(Tableau3384[[#This Row],[Date du paiement]]="",IF(Tableau3384[[#This Row],[jours jusqu''à l''écheance]]&gt;0,Tableau3384[[#This Row],[Montant
CHF]],""),"")</f>
        <v/>
      </c>
      <c r="R717" s="298" t="str">
        <f ca="1">IF(Tableau3384[[#This Row],[Date du paiement]]="",IF(Tableau3384[[#This Row],[jours jusqu''à l''écheance]]-($B$4-$B$11-1)&gt;0,Tableau3384[[#This Row],[Montant
CHF]],""),"")</f>
        <v/>
      </c>
      <c r="S717" s="142"/>
      <c r="T717" s="168" t="str">
        <f>IF(Tableau3384[[#This Row],[Paiements prevus]]="oui",Tableau3384[[#This Row],[Montant prevu à payer CH]],"")</f>
        <v/>
      </c>
      <c r="U717" s="449"/>
      <c r="V717" s="192" t="s">
        <v>737</v>
      </c>
      <c r="W717" s="444"/>
      <c r="X717" s="441"/>
      <c r="Y717" s="181"/>
      <c r="Z717" s="500" t="str">
        <f>IF(Tableau3384[[#This Row],[Méthode du paiement]]="Mastercard","OUI","")</f>
        <v/>
      </c>
      <c r="AA717" s="435" t="s">
        <v>1543</v>
      </c>
      <c r="AB717" s="435" t="s">
        <v>1767</v>
      </c>
    </row>
    <row r="718" spans="1:28" s="184" customFormat="1" hidden="1" x14ac:dyDescent="0.25">
      <c r="A718" s="437" t="s">
        <v>1773</v>
      </c>
      <c r="B718" s="439">
        <v>45600</v>
      </c>
      <c r="C718" s="439">
        <v>45603</v>
      </c>
      <c r="D718" s="440" t="s">
        <v>13</v>
      </c>
      <c r="E718" s="438">
        <f>Tableau3384[[#This Row],[Montant
EUR]]*Tableau3384[[#This Row],[Taux 
de change]]</f>
        <v>31778.405999999999</v>
      </c>
      <c r="F718" s="195">
        <v>0</v>
      </c>
      <c r="G718" s="193"/>
      <c r="H718" s="136">
        <f>Tableau3384[[#This Row],[Montant
CHF]]+Tableau3384[[#This Row],[Abzug/Spesen
CHF]]</f>
        <v>31778.405999999999</v>
      </c>
      <c r="I718" s="188">
        <v>1.02</v>
      </c>
      <c r="J718" s="189">
        <v>31155.3</v>
      </c>
      <c r="K718" s="189"/>
      <c r="L718" s="298"/>
      <c r="M718" s="445"/>
      <c r="N718" s="439">
        <v>45661</v>
      </c>
      <c r="O718" s="282">
        <f>IF(Tableau3384[[#This Row],[Date du paiement]]&gt;0,"",Tableau3384[[#This Row],[Montant
CHF]])</f>
        <v>31778.405999999999</v>
      </c>
      <c r="P718" s="475">
        <f ca="1">IF(Tableau3384[[#This Row],[Date du paiement]]="",$B$4-Tableau3384[[#This Row],[Écheance]],"")</f>
        <v>-43.53057465278107</v>
      </c>
      <c r="Q718" s="168" t="str">
        <f ca="1">IF(Tableau3384[[#This Row],[Date du paiement]]="",IF(Tableau3384[[#This Row],[jours jusqu''à l''écheance]]&gt;0,Tableau3384[[#This Row],[Montant
CHF]],""),"")</f>
        <v/>
      </c>
      <c r="R718" s="298" t="str">
        <f ca="1">IF(Tableau3384[[#This Row],[Date du paiement]]="",IF(Tableau3384[[#This Row],[jours jusqu''à l''écheance]]-($B$4-$B$11-1)&gt;0,Tableau3384[[#This Row],[Montant
CHF]],""),"")</f>
        <v/>
      </c>
      <c r="S718" s="142"/>
      <c r="T718" s="168" t="str">
        <f>IF(Tableau3384[[#This Row],[Paiements prevus]]="oui",Tableau3384[[#This Row],[Montant prevu à payer CH]],"")</f>
        <v/>
      </c>
      <c r="U718" s="449"/>
      <c r="V718" s="192" t="s">
        <v>737</v>
      </c>
      <c r="W718" s="444"/>
      <c r="X718" s="441"/>
      <c r="Y718" s="181"/>
      <c r="Z718" s="500" t="str">
        <f>IF(Tableau3384[[#This Row],[Méthode du paiement]]="Mastercard","OUI","")</f>
        <v/>
      </c>
      <c r="AA718" s="435" t="s">
        <v>14</v>
      </c>
      <c r="AB718" s="435" t="s">
        <v>1774</v>
      </c>
    </row>
    <row r="719" spans="1:28" s="184" customFormat="1" x14ac:dyDescent="0.25">
      <c r="A719" s="437" t="s">
        <v>1782</v>
      </c>
      <c r="B719" s="439">
        <v>45600</v>
      </c>
      <c r="C719" s="439">
        <v>45604</v>
      </c>
      <c r="D719" s="440" t="s">
        <v>90</v>
      </c>
      <c r="E719" s="438">
        <f>Tableau3384[[#This Row],[Montant
EUR]]*Tableau3384[[#This Row],[Taux 
de change]]</f>
        <v>5946.6</v>
      </c>
      <c r="F719" s="195">
        <v>0</v>
      </c>
      <c r="G719" s="193"/>
      <c r="H719" s="136">
        <f>Tableau3384[[#This Row],[Montant
CHF]]+Tableau3384[[#This Row],[Abzug/Spesen
CHF]]</f>
        <v>5946.6</v>
      </c>
      <c r="I719" s="188">
        <v>1.02</v>
      </c>
      <c r="J719" s="189">
        <v>5830</v>
      </c>
      <c r="K719" s="189"/>
      <c r="L719" s="298"/>
      <c r="M719" s="445"/>
      <c r="N719" s="439">
        <v>45607</v>
      </c>
      <c r="O719" s="282">
        <f>IF(Tableau3384[[#This Row],[Date du paiement]]&gt;0,"",Tableau3384[[#This Row],[Montant
CHF]])</f>
        <v>5946.6</v>
      </c>
      <c r="P719" s="475">
        <f ca="1">IF(Tableau3384[[#This Row],[Date du paiement]]="",$B$4-Tableau3384[[#This Row],[Écheance]],"")</f>
        <v>10.46942534721893</v>
      </c>
      <c r="Q719" s="168">
        <f ca="1">IF(Tableau3384[[#This Row],[Date du paiement]]="",IF(Tableau3384[[#This Row],[jours jusqu''à l''écheance]]&gt;0,Tableau3384[[#This Row],[Montant
CHF]],""),"")</f>
        <v>5946.6</v>
      </c>
      <c r="R719" s="298">
        <f ca="1">IF(Tableau3384[[#This Row],[Date du paiement]]="",IF(Tableau3384[[#This Row],[jours jusqu''à l''écheance]]-($B$4-$B$11-1)&gt;0,Tableau3384[[#This Row],[Montant
CHF]],""),"")</f>
        <v>5946.6</v>
      </c>
      <c r="S719" s="142"/>
      <c r="T719" s="168" t="str">
        <f>IF(Tableau3384[[#This Row],[Paiements prevus]]="oui",Tableau3384[[#This Row],[Montant prevu à payer CH]],"")</f>
        <v/>
      </c>
      <c r="U719" s="449"/>
      <c r="V719" s="192" t="s">
        <v>737</v>
      </c>
      <c r="W719" s="444"/>
      <c r="X719" s="441"/>
      <c r="Y719" s="181"/>
      <c r="Z719" s="500" t="str">
        <f>IF(Tableau3384[[#This Row],[Méthode du paiement]]="Mastercard","OUI","")</f>
        <v/>
      </c>
      <c r="AA719" s="435" t="s">
        <v>14</v>
      </c>
      <c r="AB719" s="435" t="s">
        <v>1783</v>
      </c>
    </row>
    <row r="720" spans="1:28" s="184" customFormat="1" hidden="1" x14ac:dyDescent="0.25">
      <c r="A720" s="437" t="s">
        <v>1786</v>
      </c>
      <c r="B720" s="439">
        <v>45600</v>
      </c>
      <c r="C720" s="439">
        <v>45602</v>
      </c>
      <c r="D720" s="440" t="s">
        <v>196</v>
      </c>
      <c r="E720" s="438">
        <v>3426.1</v>
      </c>
      <c r="F720" s="195">
        <v>8.1</v>
      </c>
      <c r="G720" s="193"/>
      <c r="H720" s="136">
        <f>Tableau3384[[#This Row],[Montant
CHF]]+Tableau3384[[#This Row],[Abzug/Spesen
CHF]]</f>
        <v>3426.1</v>
      </c>
      <c r="I720" s="188"/>
      <c r="J720" s="189"/>
      <c r="K720" s="189"/>
      <c r="L720" s="298"/>
      <c r="M720" s="445"/>
      <c r="N720" s="439">
        <v>45610</v>
      </c>
      <c r="O720" s="282">
        <f>IF(Tableau3384[[#This Row],[Date du paiement]]&gt;0,"",Tableau3384[[#This Row],[Montant
CHF]])</f>
        <v>3426.1</v>
      </c>
      <c r="P720" s="475">
        <f ca="1">IF(Tableau3384[[#This Row],[Date du paiement]]="",$B$4-Tableau3384[[#This Row],[Écheance]],"")</f>
        <v>7.4694253472189303</v>
      </c>
      <c r="Q720" s="168">
        <f ca="1">IF(Tableau3384[[#This Row],[Date du paiement]]="",IF(Tableau3384[[#This Row],[jours jusqu''à l''écheance]]&gt;0,Tableau3384[[#This Row],[Montant
CHF]],""),"")</f>
        <v>3426.1</v>
      </c>
      <c r="R720" s="298">
        <f ca="1">IF(Tableau3384[[#This Row],[Date du paiement]]="",IF(Tableau3384[[#This Row],[jours jusqu''à l''écheance]]-($B$4-$B$11-1)&gt;0,Tableau3384[[#This Row],[Montant
CHF]],""),"")</f>
        <v>3426.1</v>
      </c>
      <c r="S720" s="142"/>
      <c r="T720" s="168" t="str">
        <f>IF(Tableau3384[[#This Row],[Paiements prevus]]="oui",Tableau3384[[#This Row],[Montant prevu à payer CH]],"")</f>
        <v/>
      </c>
      <c r="U720" s="449"/>
      <c r="V720" s="192" t="s">
        <v>735</v>
      </c>
      <c r="W720" s="444"/>
      <c r="X720" s="441"/>
      <c r="Y720" s="181"/>
      <c r="Z720" s="500" t="str">
        <f>IF(Tableau3384[[#This Row],[Méthode du paiement]]="Mastercard","OUI","")</f>
        <v/>
      </c>
      <c r="AA720" s="435" t="s">
        <v>4</v>
      </c>
      <c r="AB720" s="435" t="s">
        <v>1787</v>
      </c>
    </row>
    <row r="721" spans="1:28" s="184" customFormat="1" hidden="1" x14ac:dyDescent="0.25">
      <c r="A721" s="437" t="s">
        <v>1797</v>
      </c>
      <c r="B721" s="439">
        <v>45600</v>
      </c>
      <c r="C721" s="439">
        <v>45602</v>
      </c>
      <c r="D721" s="440" t="s">
        <v>50</v>
      </c>
      <c r="E721" s="438">
        <v>1660.35</v>
      </c>
      <c r="F721" s="195">
        <v>8.1</v>
      </c>
      <c r="G721" s="193"/>
      <c r="H721" s="136">
        <f>Tableau3384[[#This Row],[Montant
CHF]]+Tableau3384[[#This Row],[Abzug/Spesen
CHF]]</f>
        <v>1660.35</v>
      </c>
      <c r="I721" s="188"/>
      <c r="J721" s="189"/>
      <c r="K721" s="189"/>
      <c r="L721" s="298"/>
      <c r="M721" s="445"/>
      <c r="N721" s="439">
        <v>45626</v>
      </c>
      <c r="O721" s="282">
        <f>IF(Tableau3384[[#This Row],[Date du paiement]]&gt;0,"",Tableau3384[[#This Row],[Montant
CHF]])</f>
        <v>1660.35</v>
      </c>
      <c r="P721" s="475">
        <f ca="1">IF(Tableau3384[[#This Row],[Date du paiement]]="",$B$4-Tableau3384[[#This Row],[Écheance]],"")</f>
        <v>-8.5305746527810697</v>
      </c>
      <c r="Q721" s="168" t="str">
        <f ca="1">IF(Tableau3384[[#This Row],[Date du paiement]]="",IF(Tableau3384[[#This Row],[jours jusqu''à l''écheance]]&gt;0,Tableau3384[[#This Row],[Montant
CHF]],""),"")</f>
        <v/>
      </c>
      <c r="R721" s="298" t="str">
        <f ca="1">IF(Tableau3384[[#This Row],[Date du paiement]]="",IF(Tableau3384[[#This Row],[jours jusqu''à l''écheance]]-($B$4-$B$11-1)&gt;0,Tableau3384[[#This Row],[Montant
CHF]],""),"")</f>
        <v/>
      </c>
      <c r="S721" s="142"/>
      <c r="T721" s="168" t="str">
        <f>IF(Tableau3384[[#This Row],[Paiements prevus]]="oui",Tableau3384[[#This Row],[Montant prevu à payer CH]],"")</f>
        <v/>
      </c>
      <c r="U721" s="449"/>
      <c r="V721" s="192" t="s">
        <v>735</v>
      </c>
      <c r="W721" s="444"/>
      <c r="X721" s="441"/>
      <c r="Y721" s="181"/>
      <c r="Z721" s="500" t="str">
        <f>IF(Tableau3384[[#This Row],[Méthode du paiement]]="Mastercard","OUI","")</f>
        <v/>
      </c>
      <c r="AA721" s="435" t="s">
        <v>1431</v>
      </c>
      <c r="AB721" s="435" t="s">
        <v>712</v>
      </c>
    </row>
    <row r="722" spans="1:28" s="184" customFormat="1" hidden="1" x14ac:dyDescent="0.25">
      <c r="A722" s="437" t="s">
        <v>1742</v>
      </c>
      <c r="B722" s="439">
        <v>45601</v>
      </c>
      <c r="C722" s="439">
        <v>45602</v>
      </c>
      <c r="D722" s="440" t="s">
        <v>1741</v>
      </c>
      <c r="E722" s="438">
        <v>1337</v>
      </c>
      <c r="F722" s="195">
        <v>8.1</v>
      </c>
      <c r="G722" s="193"/>
      <c r="H722" s="136">
        <f>Tableau3384[[#This Row],[Montant
CHF]]+Tableau3384[[#This Row],[Abzug/Spesen
CHF]]</f>
        <v>1337</v>
      </c>
      <c r="I722" s="188"/>
      <c r="J722" s="189"/>
      <c r="K722" s="189"/>
      <c r="L722" s="298"/>
      <c r="M722" s="445"/>
      <c r="N722" s="439">
        <v>45601</v>
      </c>
      <c r="O722" s="282" t="str">
        <f>IF(Tableau3384[[#This Row],[Date du paiement]]&gt;0,"",Tableau3384[[#This Row],[Montant
CHF]])</f>
        <v/>
      </c>
      <c r="P722" s="475" t="str">
        <f>IF(Tableau3384[[#This Row],[Date du paiement]]="",$B$4-Tableau3384[[#This Row],[Écheance]],"")</f>
        <v/>
      </c>
      <c r="Q722" s="168" t="str">
        <f>IF(Tableau3384[[#This Row],[Date du paiement]]="",IF(Tableau3384[[#This Row],[jours jusqu''à l''écheance]]&gt;0,Tableau3384[[#This Row],[Montant
CHF]],""),"")</f>
        <v/>
      </c>
      <c r="R722" s="298" t="str">
        <f>IF(Tableau3384[[#This Row],[Date du paiement]]="",IF(Tableau3384[[#This Row],[jours jusqu''à l''écheance]]-($B$4-$B$11-1)&gt;0,Tableau3384[[#This Row],[Montant
CHF]],""),"")</f>
        <v/>
      </c>
      <c r="S722" s="142"/>
      <c r="T722" s="168" t="str">
        <f>IF(Tableau3384[[#This Row],[Paiements prevus]]="oui",Tableau3384[[#This Row],[Montant prevu à payer CH]],"")</f>
        <v/>
      </c>
      <c r="U722" s="449"/>
      <c r="V722" s="192" t="s">
        <v>791</v>
      </c>
      <c r="W722" s="444" t="s">
        <v>1743</v>
      </c>
      <c r="X722" s="441">
        <v>45602</v>
      </c>
      <c r="Y722" s="181" t="s">
        <v>58</v>
      </c>
      <c r="Z722" s="500" t="str">
        <f>IF(Tableau3384[[#This Row],[Méthode du paiement]]="Mastercard","OUI","")</f>
        <v/>
      </c>
      <c r="AA722" s="435" t="s">
        <v>14</v>
      </c>
      <c r="AB722" s="435" t="s">
        <v>1744</v>
      </c>
    </row>
    <row r="723" spans="1:28" s="184" customFormat="1" hidden="1" x14ac:dyDescent="0.25">
      <c r="A723" s="437" t="s">
        <v>1664</v>
      </c>
      <c r="B723" s="439">
        <v>45586</v>
      </c>
      <c r="C723" s="439">
        <v>45586</v>
      </c>
      <c r="D723" s="440" t="s">
        <v>60</v>
      </c>
      <c r="E723" s="438">
        <f>Tableau3384[[#This Row],[Montant
EUR]]*Tableau3384[[#This Row],[Taux 
de change]]</f>
        <v>1578.5353716</v>
      </c>
      <c r="F723" s="195">
        <v>0</v>
      </c>
      <c r="G723" s="193"/>
      <c r="H723" s="136">
        <f>Tableau3384[[#This Row],[Montant
CHF]]+Tableau3384[[#This Row],[Abzug/Spesen
CHF]]</f>
        <v>1578.5353716</v>
      </c>
      <c r="I723" s="188">
        <v>0.9362606</v>
      </c>
      <c r="J723" s="189">
        <v>1686</v>
      </c>
      <c r="K723" s="189"/>
      <c r="L723" s="298"/>
      <c r="M723" s="445"/>
      <c r="N723" s="439">
        <v>45616</v>
      </c>
      <c r="O723" s="282" t="str">
        <f>IF(Tableau3384[[#This Row],[Date du paiement]]&gt;0,"",Tableau3384[[#This Row],[Montant
CHF]])</f>
        <v/>
      </c>
      <c r="P723" s="475" t="str">
        <f>IF(Tableau3384[[#This Row],[Date du paiement]]="",$B$4-Tableau3384[[#This Row],[Écheance]],"")</f>
        <v/>
      </c>
      <c r="Q723" s="168" t="str">
        <f>IF(Tableau3384[[#This Row],[Date du paiement]]="",IF(Tableau3384[[#This Row],[jours jusqu''à l''écheance]]&gt;0,Tableau3384[[#This Row],[Montant
CHF]],""),"")</f>
        <v/>
      </c>
      <c r="R723" s="298" t="str">
        <f>IF(Tableau3384[[#This Row],[Date du paiement]]="",IF(Tableau3384[[#This Row],[jours jusqu''à l''écheance]]-($B$4-$B$11-1)&gt;0,Tableau3384[[#This Row],[Montant
CHF]],""),"")</f>
        <v/>
      </c>
      <c r="S723" s="142"/>
      <c r="T723" s="168" t="str">
        <f>IF(Tableau3384[[#This Row],[Paiements prevus]]="oui",Tableau3384[[#This Row],[Montant prevu à payer CH]],"")</f>
        <v/>
      </c>
      <c r="U723" s="449"/>
      <c r="V723" s="192" t="s">
        <v>737</v>
      </c>
      <c r="W723" s="444"/>
      <c r="X723" s="441">
        <v>45615</v>
      </c>
      <c r="Y723" s="181" t="s">
        <v>58</v>
      </c>
      <c r="Z723" s="500" t="str">
        <f>IF(Tableau3384[[#This Row],[Méthode du paiement]]="Mastercard","OUI","")</f>
        <v/>
      </c>
      <c r="AA723" s="435" t="s">
        <v>14</v>
      </c>
      <c r="AB723" s="435" t="s">
        <v>1665</v>
      </c>
    </row>
    <row r="724" spans="1:28" s="184" customFormat="1" hidden="1" x14ac:dyDescent="0.25">
      <c r="A724" s="437" t="s">
        <v>1792</v>
      </c>
      <c r="B724" s="439">
        <v>45601</v>
      </c>
      <c r="C724" s="439">
        <v>45603</v>
      </c>
      <c r="D724" s="440" t="s">
        <v>42</v>
      </c>
      <c r="E724" s="438">
        <v>36</v>
      </c>
      <c r="F724" s="195">
        <v>8.1</v>
      </c>
      <c r="G724" s="193"/>
      <c r="H724" s="136">
        <f>Tableau3384[[#This Row],[Montant
CHF]]+Tableau3384[[#This Row],[Abzug/Spesen
CHF]]</f>
        <v>36</v>
      </c>
      <c r="I724" s="188"/>
      <c r="J724" s="189"/>
      <c r="K724" s="189"/>
      <c r="L724" s="298"/>
      <c r="M724" s="445"/>
      <c r="N724" s="439">
        <v>45631</v>
      </c>
      <c r="O724" s="282">
        <f>IF(Tableau3384[[#This Row],[Date du paiement]]&gt;0,"",Tableau3384[[#This Row],[Montant
CHF]])</f>
        <v>36</v>
      </c>
      <c r="P724" s="475">
        <f ca="1">IF(Tableau3384[[#This Row],[Date du paiement]]="",$B$4-Tableau3384[[#This Row],[Écheance]],"")</f>
        <v>-13.53057465278107</v>
      </c>
      <c r="Q724" s="168" t="str">
        <f ca="1">IF(Tableau3384[[#This Row],[Date du paiement]]="",IF(Tableau3384[[#This Row],[jours jusqu''à l''écheance]]&gt;0,Tableau3384[[#This Row],[Montant
CHF]],""),"")</f>
        <v/>
      </c>
      <c r="R724" s="298" t="str">
        <f ca="1">IF(Tableau3384[[#This Row],[Date du paiement]]="",IF(Tableau3384[[#This Row],[jours jusqu''à l''écheance]]-($B$4-$B$11-1)&gt;0,Tableau3384[[#This Row],[Montant
CHF]],""),"")</f>
        <v/>
      </c>
      <c r="S724" s="142"/>
      <c r="T724" s="168" t="str">
        <f>IF(Tableau3384[[#This Row],[Paiements prevus]]="oui",Tableau3384[[#This Row],[Montant prevu à payer CH]],"")</f>
        <v/>
      </c>
      <c r="U724" s="449"/>
      <c r="V724" s="192" t="s">
        <v>735</v>
      </c>
      <c r="W724" s="444"/>
      <c r="X724" s="441"/>
      <c r="Y724" s="181"/>
      <c r="Z724" s="500" t="str">
        <f>IF(Tableau3384[[#This Row],[Méthode du paiement]]="Mastercard","OUI","")</f>
        <v/>
      </c>
      <c r="AA724" s="435" t="s">
        <v>43</v>
      </c>
      <c r="AB724" s="435" t="s">
        <v>1793</v>
      </c>
    </row>
    <row r="725" spans="1:28" s="184" customFormat="1" hidden="1" x14ac:dyDescent="0.25">
      <c r="A725" s="437" t="s">
        <v>1762</v>
      </c>
      <c r="B725" s="439">
        <v>45602</v>
      </c>
      <c r="C725" s="439">
        <v>45603</v>
      </c>
      <c r="D725" s="440" t="s">
        <v>1761</v>
      </c>
      <c r="E725" s="438">
        <f>Tableau3384[[#This Row],[Montant
EUR]]*Tableau3384[[#This Row],[Taux 
de change]]</f>
        <v>2259.3000000000002</v>
      </c>
      <c r="F725" s="195">
        <v>0</v>
      </c>
      <c r="G725" s="193"/>
      <c r="H725" s="136">
        <f>Tableau3384[[#This Row],[Montant
CHF]]+Tableau3384[[#This Row],[Abzug/Spesen
CHF]]</f>
        <v>2259.3000000000002</v>
      </c>
      <c r="I725" s="188">
        <v>1.02</v>
      </c>
      <c r="J725" s="189">
        <v>2215</v>
      </c>
      <c r="K725" s="189"/>
      <c r="L725" s="298"/>
      <c r="M725" s="445" t="s">
        <v>676</v>
      </c>
      <c r="N725" s="439">
        <v>45602</v>
      </c>
      <c r="O725" s="282" t="str">
        <f>IF(Tableau3384[[#This Row],[Date du paiement]]&gt;0,"",Tableau3384[[#This Row],[Montant
CHF]])</f>
        <v/>
      </c>
      <c r="P725" s="475" t="str">
        <f>IF(Tableau3384[[#This Row],[Date du paiement]]="",$B$4-Tableau3384[[#This Row],[Écheance]],"")</f>
        <v/>
      </c>
      <c r="Q725" s="168" t="str">
        <f>IF(Tableau3384[[#This Row],[Date du paiement]]="",IF(Tableau3384[[#This Row],[jours jusqu''à l''écheance]]&gt;0,Tableau3384[[#This Row],[Montant
CHF]],""),"")</f>
        <v/>
      </c>
      <c r="R725" s="298" t="str">
        <f>IF(Tableau3384[[#This Row],[Date du paiement]]="",IF(Tableau3384[[#This Row],[jours jusqu''à l''écheance]]&gt;0,Tableau3384[[#This Row],[Montant
CHF]],""),"")</f>
        <v/>
      </c>
      <c r="S725" s="142"/>
      <c r="T725" s="168" t="str">
        <f>IF(Tableau3384[[#This Row],[Paiements prevus]]="oui",Tableau3384[[#This Row],[Montant prevu à payer CH]],"")</f>
        <v/>
      </c>
      <c r="U725" s="449"/>
      <c r="V725" s="192" t="s">
        <v>791</v>
      </c>
      <c r="W725" s="444" t="s">
        <v>772</v>
      </c>
      <c r="X725" s="441">
        <v>45604</v>
      </c>
      <c r="Y725" s="181" t="s">
        <v>58</v>
      </c>
      <c r="Z725" s="500" t="str">
        <f>IF(Tableau3384[[#This Row],[Méthode du paiement]]="Mastercard","OUI","")</f>
        <v/>
      </c>
      <c r="AA725" s="435" t="s">
        <v>14</v>
      </c>
      <c r="AB725" s="435" t="s">
        <v>1765</v>
      </c>
    </row>
    <row r="726" spans="1:28" s="184" customFormat="1" hidden="1" x14ac:dyDescent="0.25">
      <c r="A726" s="437" t="s">
        <v>129</v>
      </c>
      <c r="B726" s="439">
        <v>45602</v>
      </c>
      <c r="C726" s="439">
        <v>45602</v>
      </c>
      <c r="D726" s="440" t="s">
        <v>87</v>
      </c>
      <c r="E726" s="438">
        <v>3070.35</v>
      </c>
      <c r="F726" s="195"/>
      <c r="G726" s="193"/>
      <c r="H726" s="136">
        <f>Tableau3384[[#This Row],[Montant
CHF]]+Tableau3384[[#This Row],[Abzug/Spesen
CHF]]</f>
        <v>3070.35</v>
      </c>
      <c r="I726" s="188"/>
      <c r="J726" s="189"/>
      <c r="K726" s="189"/>
      <c r="L726" s="298"/>
      <c r="M726" s="445"/>
      <c r="N726" s="439">
        <v>45631</v>
      </c>
      <c r="O726" s="282">
        <f>IF(Tableau3384[[#This Row],[Date du paiement]]&gt;0,"",Tableau3384[[#This Row],[Montant
CHF]])</f>
        <v>3070.35</v>
      </c>
      <c r="P726" s="475">
        <f ca="1">IF(Tableau3384[[#This Row],[Date du paiement]]="",$B$4-Tableau3384[[#This Row],[Écheance]],"")</f>
        <v>-13.53057465278107</v>
      </c>
      <c r="Q726" s="168" t="str">
        <f ca="1">IF(Tableau3384[[#This Row],[Date du paiement]]="",IF(Tableau3384[[#This Row],[jours jusqu''à l''écheance]]&gt;0,Tableau3384[[#This Row],[Montant
CHF]],""),"")</f>
        <v/>
      </c>
      <c r="R726" s="298" t="str">
        <f ca="1">IF(Tableau3384[[#This Row],[Date du paiement]]="",IF(Tableau3384[[#This Row],[jours jusqu''à l''écheance]]-($B$4-$B$11-1)&gt;0,Tableau3384[[#This Row],[Montant
CHF]],""),"")</f>
        <v/>
      </c>
      <c r="S726" s="142"/>
      <c r="T726" s="168" t="str">
        <f>IF(Tableau3384[[#This Row],[Paiements prevus]]="oui",Tableau3384[[#This Row],[Montant prevu à payer CH]],"")</f>
        <v/>
      </c>
      <c r="U726" s="449"/>
      <c r="V726" s="192" t="s">
        <v>739</v>
      </c>
      <c r="W726" s="444"/>
      <c r="X726" s="441"/>
      <c r="Y726" s="181"/>
      <c r="Z726" s="500" t="str">
        <f>IF(Tableau3384[[#This Row],[Méthode du paiement]]="Mastercard","OUI","")</f>
        <v/>
      </c>
      <c r="AA726" s="435" t="s">
        <v>4</v>
      </c>
      <c r="AB726" s="435" t="s">
        <v>713</v>
      </c>
    </row>
    <row r="727" spans="1:28" s="184" customFormat="1" x14ac:dyDescent="0.25">
      <c r="A727" s="437" t="s">
        <v>1778</v>
      </c>
      <c r="B727" s="439">
        <v>45604</v>
      </c>
      <c r="C727" s="439">
        <v>45604</v>
      </c>
      <c r="D727" s="440" t="s">
        <v>25</v>
      </c>
      <c r="E727" s="438">
        <v>40</v>
      </c>
      <c r="F727" s="195">
        <v>0</v>
      </c>
      <c r="G727" s="193"/>
      <c r="H727" s="136">
        <f>Tableau3384[[#This Row],[Montant
CHF]]+Tableau3384[[#This Row],[Abzug/Spesen
CHF]]</f>
        <v>40</v>
      </c>
      <c r="I727" s="188"/>
      <c r="J727" s="189"/>
      <c r="K727" s="189"/>
      <c r="L727" s="298"/>
      <c r="M727" s="445"/>
      <c r="N727" s="439">
        <v>45624</v>
      </c>
      <c r="O727" s="282">
        <f>IF(Tableau3384[[#This Row],[Date du paiement]]&gt;0,"",Tableau3384[[#This Row],[Montant
CHF]])</f>
        <v>40</v>
      </c>
      <c r="P727" s="475">
        <f ca="1">IF(Tableau3384[[#This Row],[Date du paiement]]="",$B$4-Tableau3384[[#This Row],[Écheance]],"")</f>
        <v>-6.5305746527810697</v>
      </c>
      <c r="Q727" s="168" t="str">
        <f ca="1">IF(Tableau3384[[#This Row],[Date du paiement]]="",IF(Tableau3384[[#This Row],[jours jusqu''à l''écheance]]&gt;0,Tableau3384[[#This Row],[Montant
CHF]],""),"")</f>
        <v/>
      </c>
      <c r="R727" s="298" t="str">
        <f ca="1">IF(Tableau3384[[#This Row],[Date du paiement]]="",IF(Tableau3384[[#This Row],[jours jusqu''à l''écheance]]-($B$4-$B$11-1)&gt;0,Tableau3384[[#This Row],[Montant
CHF]],""),"")</f>
        <v/>
      </c>
      <c r="S727" s="142"/>
      <c r="T727" s="168" t="str">
        <f>IF(Tableau3384[[#This Row],[Paiements prevus]]="oui",Tableau3384[[#This Row],[Montant prevu à payer CH]],"")</f>
        <v/>
      </c>
      <c r="U727" s="449"/>
      <c r="V727" s="192" t="s">
        <v>738</v>
      </c>
      <c r="W727" s="444"/>
      <c r="X727" s="441"/>
      <c r="Y727" s="181"/>
      <c r="Z727" s="500" t="str">
        <f>IF(Tableau3384[[#This Row],[Méthode du paiement]]="Mastercard","OUI","")</f>
        <v/>
      </c>
      <c r="AA727" s="435" t="s">
        <v>26</v>
      </c>
      <c r="AB727" s="435" t="s">
        <v>1780</v>
      </c>
    </row>
    <row r="728" spans="1:28" s="184" customFormat="1" x14ac:dyDescent="0.25">
      <c r="A728" s="437" t="s">
        <v>1779</v>
      </c>
      <c r="B728" s="439">
        <v>45604</v>
      </c>
      <c r="C728" s="439">
        <v>45604</v>
      </c>
      <c r="D728" s="440" t="s">
        <v>25</v>
      </c>
      <c r="E728" s="438">
        <v>40</v>
      </c>
      <c r="F728" s="195">
        <v>0</v>
      </c>
      <c r="G728" s="193"/>
      <c r="H728" s="136">
        <f>Tableau3384[[#This Row],[Montant
CHF]]+Tableau3384[[#This Row],[Abzug/Spesen
CHF]]</f>
        <v>40</v>
      </c>
      <c r="I728" s="188"/>
      <c r="J728" s="189"/>
      <c r="K728" s="189"/>
      <c r="L728" s="298"/>
      <c r="M728" s="445"/>
      <c r="N728" s="439">
        <v>45624</v>
      </c>
      <c r="O728" s="282">
        <f>IF(Tableau3384[[#This Row],[Date du paiement]]&gt;0,"",Tableau3384[[#This Row],[Montant
CHF]])</f>
        <v>40</v>
      </c>
      <c r="P728" s="475">
        <f ca="1">IF(Tableau3384[[#This Row],[Date du paiement]]="",$B$4-Tableau3384[[#This Row],[Écheance]],"")</f>
        <v>-6.5305746527810697</v>
      </c>
      <c r="Q728" s="168" t="str">
        <f ca="1">IF(Tableau3384[[#This Row],[Date du paiement]]="",IF(Tableau3384[[#This Row],[jours jusqu''à l''écheance]]&gt;0,Tableau3384[[#This Row],[Montant
CHF]],""),"")</f>
        <v/>
      </c>
      <c r="R728" s="298" t="str">
        <f ca="1">IF(Tableau3384[[#This Row],[Date du paiement]]="",IF(Tableau3384[[#This Row],[jours jusqu''à l''écheance]]-($B$4-$B$11-1)&gt;0,Tableau3384[[#This Row],[Montant
CHF]],""),"")</f>
        <v/>
      </c>
      <c r="S728" s="142"/>
      <c r="T728" s="168" t="str">
        <f>IF(Tableau3384[[#This Row],[Paiements prevus]]="oui",Tableau3384[[#This Row],[Montant prevu à payer CH]],"")</f>
        <v/>
      </c>
      <c r="U728" s="449"/>
      <c r="V728" s="192" t="s">
        <v>738</v>
      </c>
      <c r="W728" s="444"/>
      <c r="X728" s="441"/>
      <c r="Y728" s="181"/>
      <c r="Z728" s="500" t="str">
        <f>IF(Tableau3384[[#This Row],[Méthode du paiement]]="Mastercard","OUI","")</f>
        <v/>
      </c>
      <c r="AA728" s="435" t="s">
        <v>26</v>
      </c>
      <c r="AB728" s="435" t="s">
        <v>1781</v>
      </c>
    </row>
    <row r="729" spans="1:28" s="184" customFormat="1" x14ac:dyDescent="0.25">
      <c r="A729" s="437" t="s">
        <v>1790</v>
      </c>
      <c r="B729" s="439">
        <v>45604</v>
      </c>
      <c r="C729" s="439">
        <v>45604</v>
      </c>
      <c r="D729" s="440" t="s">
        <v>196</v>
      </c>
      <c r="E729" s="438">
        <v>363.1</v>
      </c>
      <c r="F729" s="195">
        <v>8.1</v>
      </c>
      <c r="G729" s="193"/>
      <c r="H729" s="136">
        <f>Tableau3384[[#This Row],[Montant
CHF]]+Tableau3384[[#This Row],[Abzug/Spesen
CHF]]</f>
        <v>363.1</v>
      </c>
      <c r="I729" s="188"/>
      <c r="J729" s="189"/>
      <c r="K729" s="189"/>
      <c r="L729" s="298"/>
      <c r="M729" s="445"/>
      <c r="N729" s="439">
        <v>45614</v>
      </c>
      <c r="O729" s="282">
        <f>IF(Tableau3384[[#This Row],[Date du paiement]]&gt;0,"",Tableau3384[[#This Row],[Montant
CHF]])</f>
        <v>363.1</v>
      </c>
      <c r="P729" s="475">
        <f ca="1">IF(Tableau3384[[#This Row],[Date du paiement]]="",$B$4-Tableau3384[[#This Row],[Écheance]],"")</f>
        <v>3.4694253472189303</v>
      </c>
      <c r="Q729" s="168">
        <f ca="1">IF(Tableau3384[[#This Row],[Date du paiement]]="",IF(Tableau3384[[#This Row],[jours jusqu''à l''écheance]]&gt;0,Tableau3384[[#This Row],[Montant
CHF]],""),"")</f>
        <v>363.1</v>
      </c>
      <c r="R729" s="298">
        <f ca="1">IF(Tableau3384[[#This Row],[Date du paiement]]="",IF(Tableau3384[[#This Row],[jours jusqu''à l''écheance]]-($B$4-$B$11-1)&gt;0,Tableau3384[[#This Row],[Montant
CHF]],""),"")</f>
        <v>363.1</v>
      </c>
      <c r="S729" s="142"/>
      <c r="T729" s="168" t="str">
        <f>IF(Tableau3384[[#This Row],[Paiements prevus]]="oui",Tableau3384[[#This Row],[Montant prevu à payer CH]],"")</f>
        <v/>
      </c>
      <c r="U729" s="449"/>
      <c r="V729" s="192" t="s">
        <v>735</v>
      </c>
      <c r="W729" s="444"/>
      <c r="X729" s="441"/>
      <c r="Y729" s="181"/>
      <c r="Z729" s="500" t="str">
        <f>IF(Tableau3384[[#This Row],[Méthode du paiement]]="Mastercard","OUI","")</f>
        <v/>
      </c>
      <c r="AA729" s="435" t="s">
        <v>4</v>
      </c>
      <c r="AB729" s="435" t="s">
        <v>1791</v>
      </c>
    </row>
    <row r="730" spans="1:28" s="184" customFormat="1" x14ac:dyDescent="0.25">
      <c r="A730" s="437" t="s">
        <v>1824</v>
      </c>
      <c r="B730" s="439">
        <v>45608</v>
      </c>
      <c r="C730" s="439">
        <v>45608</v>
      </c>
      <c r="D730" s="440" t="s">
        <v>10</v>
      </c>
      <c r="E730" s="438">
        <v>1794.7</v>
      </c>
      <c r="F730" s="195">
        <v>8.1</v>
      </c>
      <c r="G730" s="193"/>
      <c r="H730" s="136">
        <f>Tableau3384[[#This Row],[Montant
CHF]]+Tableau3384[[#This Row],[Abzug/Spesen
CHF]]</f>
        <v>1794.7</v>
      </c>
      <c r="I730" s="188"/>
      <c r="J730" s="189"/>
      <c r="K730" s="189"/>
      <c r="L730" s="298"/>
      <c r="M730" s="445" t="s">
        <v>1823</v>
      </c>
      <c r="N730" s="439">
        <v>45633</v>
      </c>
      <c r="O730" s="282">
        <f>IF(Tableau3384[[#This Row],[Date du paiement]]&gt;0,"",Tableau3384[[#This Row],[Montant
CHF]])</f>
        <v>1794.7</v>
      </c>
      <c r="P730" s="475">
        <f ca="1">IF(Tableau3384[[#This Row],[Date du paiement]]="",$B$4-Tableau3384[[#This Row],[Écheance]],"")</f>
        <v>-15.53057465278107</v>
      </c>
      <c r="Q730" s="168" t="str">
        <f ca="1">IF(Tableau3384[[#This Row],[Date du paiement]]="",IF(Tableau3384[[#This Row],[jours jusqu''à l''écheance]]&gt;0,Tableau3384[[#This Row],[Montant
CHF]],""),"")</f>
        <v/>
      </c>
      <c r="R730" s="298" t="str">
        <f ca="1">IF(Tableau3384[[#This Row],[Date du paiement]]="",IF(Tableau3384[[#This Row],[jours jusqu''à l''écheance]]-($B$4-$B$11-1)&gt;0,Tableau3384[[#This Row],[Montant
CHF]],""),"")</f>
        <v/>
      </c>
      <c r="S730" s="142"/>
      <c r="T730" s="168" t="str">
        <f>IF(Tableau3384[[#This Row],[Paiements prevus]]="oui",Tableau3384[[#This Row],[Montant prevu à payer CH]],"")</f>
        <v/>
      </c>
      <c r="U730" s="449"/>
      <c r="V730" s="192" t="s">
        <v>738</v>
      </c>
      <c r="W730" s="444"/>
      <c r="X730" s="441"/>
      <c r="Y730" s="181"/>
      <c r="Z730" s="500" t="str">
        <f>IF(Tableau3384[[#This Row],[Méthode du paiement]]="Mastercard","OUI","")</f>
        <v/>
      </c>
      <c r="AA730" s="435" t="s">
        <v>294</v>
      </c>
      <c r="AB730" s="435" t="s">
        <v>1772</v>
      </c>
    </row>
    <row r="731" spans="1:28" s="184" customFormat="1" x14ac:dyDescent="0.25">
      <c r="A731" s="437" t="s">
        <v>1798</v>
      </c>
      <c r="B731" s="439">
        <v>45608</v>
      </c>
      <c r="C731" s="439">
        <v>45608</v>
      </c>
      <c r="D731" s="440" t="s">
        <v>25</v>
      </c>
      <c r="E731" s="438">
        <v>40</v>
      </c>
      <c r="F731" s="195">
        <v>0</v>
      </c>
      <c r="G731" s="193"/>
      <c r="H731" s="136">
        <f>Tableau3384[[#This Row],[Montant
CHF]]+Tableau3384[[#This Row],[Abzug/Spesen
CHF]]</f>
        <v>40</v>
      </c>
      <c r="I731" s="188"/>
      <c r="J731" s="189"/>
      <c r="K731" s="189"/>
      <c r="L731" s="298"/>
      <c r="M731" s="445"/>
      <c r="N731" s="439">
        <v>45628</v>
      </c>
      <c r="O731" s="282">
        <f>IF(Tableau3384[[#This Row],[Date du paiement]]&gt;0,"",Tableau3384[[#This Row],[Montant
CHF]])</f>
        <v>40</v>
      </c>
      <c r="P731" s="475">
        <f ca="1">IF(Tableau3384[[#This Row],[Date du paiement]]="",$B$4-Tableau3384[[#This Row],[Écheance]],"")</f>
        <v>-10.53057465278107</v>
      </c>
      <c r="Q731" s="168" t="str">
        <f ca="1">IF(Tableau3384[[#This Row],[Date du paiement]]="",IF(Tableau3384[[#This Row],[jours jusqu''à l''écheance]]&gt;0,Tableau3384[[#This Row],[Montant
CHF]],""),"")</f>
        <v/>
      </c>
      <c r="R731" s="298" t="str">
        <f ca="1">IF(Tableau3384[[#This Row],[Date du paiement]]="",IF(Tableau3384[[#This Row],[jours jusqu''à l''écheance]]-($B$4-$B$11-1)&gt;0,Tableau3384[[#This Row],[Montant
CHF]],""),"")</f>
        <v/>
      </c>
      <c r="S731" s="142"/>
      <c r="T731" s="168" t="str">
        <f>IF(Tableau3384[[#This Row],[Paiements prevus]]="oui",Tableau3384[[#This Row],[Montant prevu à payer CH]],"")</f>
        <v/>
      </c>
      <c r="U731" s="449"/>
      <c r="V731" s="192" t="s">
        <v>738</v>
      </c>
      <c r="W731" s="444"/>
      <c r="X731" s="441"/>
      <c r="Y731" s="181"/>
      <c r="Z731" s="500" t="str">
        <f>IF(Tableau3384[[#This Row],[Méthode du paiement]]="Mastercard","OUI","")</f>
        <v/>
      </c>
      <c r="AA731" s="435" t="s">
        <v>26</v>
      </c>
      <c r="AB731" s="435" t="s">
        <v>1799</v>
      </c>
    </row>
    <row r="732" spans="1:28" s="184" customFormat="1" x14ac:dyDescent="0.25">
      <c r="A732" s="437" t="s">
        <v>1812</v>
      </c>
      <c r="B732" s="439">
        <v>45609</v>
      </c>
      <c r="C732" s="439">
        <v>45610</v>
      </c>
      <c r="D732" s="440" t="s">
        <v>196</v>
      </c>
      <c r="E732" s="438">
        <v>4210.55</v>
      </c>
      <c r="F732" s="195">
        <v>8.1</v>
      </c>
      <c r="G732" s="193"/>
      <c r="H732" s="136">
        <f>Tableau3384[[#This Row],[Montant
CHF]]+Tableau3384[[#This Row],[Abzug/Spesen
CHF]]</f>
        <v>4210.55</v>
      </c>
      <c r="I732" s="188"/>
      <c r="J732" s="189" t="s">
        <v>1811</v>
      </c>
      <c r="K732" s="189"/>
      <c r="L732" s="298"/>
      <c r="M732" s="445"/>
      <c r="N732" s="439">
        <v>45619</v>
      </c>
      <c r="O732" s="282">
        <f>IF(Tableau3384[[#This Row],[Date du paiement]]&gt;0,"",Tableau3384[[#This Row],[Montant
CHF]])</f>
        <v>4210.55</v>
      </c>
      <c r="P732" s="475">
        <f ca="1">IF(Tableau3384[[#This Row],[Date du paiement]]="",$B$4-Tableau3384[[#This Row],[Écheance]],"")</f>
        <v>-1.5305746527810697</v>
      </c>
      <c r="Q732" s="168" t="str">
        <f ca="1">IF(Tableau3384[[#This Row],[Date du paiement]]="",IF(Tableau3384[[#This Row],[jours jusqu''à l''écheance]]&gt;0,Tableau3384[[#This Row],[Montant
CHF]],""),"")</f>
        <v/>
      </c>
      <c r="R732" s="298">
        <f ca="1">IF(Tableau3384[[#This Row],[Date du paiement]]="",IF(Tableau3384[[#This Row],[jours jusqu''à l''écheance]]-($B$4-$B$11-1)&gt;0,Tableau3384[[#This Row],[Montant
CHF]],""),"")</f>
        <v>4210.55</v>
      </c>
      <c r="S732" s="142"/>
      <c r="T732" s="168" t="str">
        <f>IF(Tableau3384[[#This Row],[Paiements prevus]]="oui",Tableau3384[[#This Row],[Montant prevu à payer CH]],"")</f>
        <v/>
      </c>
      <c r="U732" s="449"/>
      <c r="V732" s="192" t="s">
        <v>735</v>
      </c>
      <c r="W732" s="444"/>
      <c r="X732" s="441"/>
      <c r="Y732" s="181"/>
      <c r="Z732" s="500" t="str">
        <f>IF(Tableau3384[[#This Row],[Méthode du paiement]]="Mastercard","OUI","")</f>
        <v/>
      </c>
      <c r="AA732" s="435" t="s">
        <v>4</v>
      </c>
      <c r="AB732" s="435" t="s">
        <v>1789</v>
      </c>
    </row>
    <row r="733" spans="1:28" s="184" customFormat="1" x14ac:dyDescent="0.25">
      <c r="A733" s="437" t="s">
        <v>1805</v>
      </c>
      <c r="B733" s="439">
        <v>45609</v>
      </c>
      <c r="C733" s="439">
        <v>45611</v>
      </c>
      <c r="D733" s="440" t="s">
        <v>1806</v>
      </c>
      <c r="E733" s="438">
        <v>502</v>
      </c>
      <c r="F733" s="195">
        <v>0</v>
      </c>
      <c r="G733" s="193"/>
      <c r="H733" s="136">
        <f>Tableau3384[[#This Row],[Montant
CHF]]+Tableau3384[[#This Row],[Abzug/Spesen
CHF]]</f>
        <v>502</v>
      </c>
      <c r="I733" s="188"/>
      <c r="J733" s="189"/>
      <c r="K733" s="189"/>
      <c r="L733" s="298"/>
      <c r="M733" s="445"/>
      <c r="N733" s="439">
        <v>45688</v>
      </c>
      <c r="O733" s="282">
        <f>IF(Tableau3384[[#This Row],[Date du paiement]]&gt;0,"",Tableau3384[[#This Row],[Montant
CHF]])</f>
        <v>502</v>
      </c>
      <c r="P733" s="475">
        <f ca="1">IF(Tableau3384[[#This Row],[Date du paiement]]="",$B$4-Tableau3384[[#This Row],[Écheance]],"")</f>
        <v>-70.53057465278107</v>
      </c>
      <c r="Q733" s="168" t="str">
        <f ca="1">IF(Tableau3384[[#This Row],[Date du paiement]]="",IF(Tableau3384[[#This Row],[jours jusqu''à l''écheance]]&gt;0,Tableau3384[[#This Row],[Montant
CHF]],""),"")</f>
        <v/>
      </c>
      <c r="R733" s="298" t="str">
        <f ca="1">IF(Tableau3384[[#This Row],[Date du paiement]]="",IF(Tableau3384[[#This Row],[jours jusqu''à l''écheance]]-($B$4-$B$11-1)&gt;0,Tableau3384[[#This Row],[Montant
CHF]],""),"")</f>
        <v/>
      </c>
      <c r="S733" s="142"/>
      <c r="T733" s="168" t="str">
        <f>IF(Tableau3384[[#This Row],[Paiements prevus]]="oui",Tableau3384[[#This Row],[Montant prevu à payer CH]],"")</f>
        <v/>
      </c>
      <c r="U733" s="449"/>
      <c r="V733" s="192" t="s">
        <v>735</v>
      </c>
      <c r="W733" s="444"/>
      <c r="X733" s="441"/>
      <c r="Y733" s="181"/>
      <c r="Z733" s="500" t="str">
        <f>IF(Tableau3384[[#This Row],[Méthode du paiement]]="Mastercard","OUI","")</f>
        <v/>
      </c>
      <c r="AA733" s="435" t="s">
        <v>43</v>
      </c>
      <c r="AB733" s="435" t="s">
        <v>1808</v>
      </c>
    </row>
    <row r="734" spans="1:28" s="184" customFormat="1" x14ac:dyDescent="0.25">
      <c r="A734" s="437" t="s">
        <v>1809</v>
      </c>
      <c r="B734" s="439">
        <v>45609</v>
      </c>
      <c r="C734" s="439">
        <v>45610</v>
      </c>
      <c r="D734" s="440" t="s">
        <v>35</v>
      </c>
      <c r="E734" s="438">
        <v>5081.45</v>
      </c>
      <c r="F734" s="195"/>
      <c r="G734" s="193"/>
      <c r="H734" s="136">
        <f>Tableau3384[[#This Row],[Montant
CHF]]+Tableau3384[[#This Row],[Abzug/Spesen
CHF]]</f>
        <v>5081.45</v>
      </c>
      <c r="I734" s="188"/>
      <c r="J734" s="189"/>
      <c r="K734" s="189"/>
      <c r="L734" s="298"/>
      <c r="M734" s="445" t="s">
        <v>1810</v>
      </c>
      <c r="N734" s="439">
        <v>45636</v>
      </c>
      <c r="O734" s="282">
        <f>IF(Tableau3384[[#This Row],[Date du paiement]]&gt;0,"",Tableau3384[[#This Row],[Montant
CHF]])</f>
        <v>5081.45</v>
      </c>
      <c r="P734" s="475">
        <f ca="1">IF(Tableau3384[[#This Row],[Date du paiement]]="",$B$4-Tableau3384[[#This Row],[Écheance]],"")</f>
        <v>-18.53057465278107</v>
      </c>
      <c r="Q734" s="168" t="str">
        <f ca="1">IF(Tableau3384[[#This Row],[Date du paiement]]="",IF(Tableau3384[[#This Row],[jours jusqu''à l''écheance]]&gt;0,Tableau3384[[#This Row],[Montant
CHF]],""),"")</f>
        <v/>
      </c>
      <c r="R734" s="298" t="str">
        <f ca="1">IF(Tableau3384[[#This Row],[Date du paiement]]="",IF(Tableau3384[[#This Row],[jours jusqu''à l''écheance]]-($B$4-$B$11-1)&gt;0,Tableau3384[[#This Row],[Montant
CHF]],""),"")</f>
        <v/>
      </c>
      <c r="S734" s="142"/>
      <c r="T734" s="168" t="str">
        <f>IF(Tableau3384[[#This Row],[Paiements prevus]]="oui",Tableau3384[[#This Row],[Montant prevu à payer CH]],"")</f>
        <v/>
      </c>
      <c r="U734" s="449"/>
      <c r="V734" s="192" t="s">
        <v>789</v>
      </c>
      <c r="W734" s="444"/>
      <c r="X734" s="441"/>
      <c r="Y734" s="181"/>
      <c r="Z734" s="500" t="str">
        <f>IF(Tableau3384[[#This Row],[Méthode du paiement]]="Mastercard","OUI","")</f>
        <v/>
      </c>
      <c r="AA734" s="435" t="s">
        <v>4</v>
      </c>
      <c r="AB734" s="435" t="s">
        <v>713</v>
      </c>
    </row>
    <row r="735" spans="1:28" s="184" customFormat="1" x14ac:dyDescent="0.25">
      <c r="A735" s="437" t="s">
        <v>1813</v>
      </c>
      <c r="B735" s="439">
        <v>45609</v>
      </c>
      <c r="C735" s="439">
        <v>45610</v>
      </c>
      <c r="D735" s="440" t="s">
        <v>196</v>
      </c>
      <c r="E735" s="438">
        <v>372.4</v>
      </c>
      <c r="F735" s="195">
        <v>8.1</v>
      </c>
      <c r="G735" s="193"/>
      <c r="H735" s="136">
        <f>Tableau3384[[#This Row],[Montant
CHF]]+Tableau3384[[#This Row],[Abzug/Spesen
CHF]]</f>
        <v>372.4</v>
      </c>
      <c r="I735" s="188"/>
      <c r="J735" s="189"/>
      <c r="K735" s="189"/>
      <c r="L735" s="298"/>
      <c r="M735" s="445"/>
      <c r="N735" s="439">
        <v>45619</v>
      </c>
      <c r="O735" s="282">
        <f>IF(Tableau3384[[#This Row],[Date du paiement]]&gt;0,"",Tableau3384[[#This Row],[Montant
CHF]])</f>
        <v>372.4</v>
      </c>
      <c r="P735" s="475">
        <f ca="1">IF(Tableau3384[[#This Row],[Date du paiement]]="",$B$4-Tableau3384[[#This Row],[Écheance]],"")</f>
        <v>-1.5305746527810697</v>
      </c>
      <c r="Q735" s="168" t="str">
        <f ca="1">IF(Tableau3384[[#This Row],[Date du paiement]]="",IF(Tableau3384[[#This Row],[jours jusqu''à l''écheance]]&gt;0,Tableau3384[[#This Row],[Montant
CHF]],""),"")</f>
        <v/>
      </c>
      <c r="R735" s="298">
        <f ca="1">IF(Tableau3384[[#This Row],[Date du paiement]]="",IF(Tableau3384[[#This Row],[jours jusqu''à l''écheance]]-($B$4-$B$11-1)&gt;0,Tableau3384[[#This Row],[Montant
CHF]],""),"")</f>
        <v>372.4</v>
      </c>
      <c r="S735" s="142"/>
      <c r="T735" s="168" t="str">
        <f>IF(Tableau3384[[#This Row],[Paiements prevus]]="oui",Tableau3384[[#This Row],[Montant prevu à payer CH]],"")</f>
        <v/>
      </c>
      <c r="U735" s="449"/>
      <c r="V735" s="192" t="s">
        <v>735</v>
      </c>
      <c r="W735" s="444"/>
      <c r="X735" s="441"/>
      <c r="Y735" s="181"/>
      <c r="Z735" s="500" t="str">
        <f>IF(Tableau3384[[#This Row],[Méthode du paiement]]="Mastercard","OUI","")</f>
        <v/>
      </c>
      <c r="AA735" s="435" t="s">
        <v>4</v>
      </c>
      <c r="AB735" s="435" t="s">
        <v>1814</v>
      </c>
    </row>
    <row r="736" spans="1:28" s="184" customFormat="1" x14ac:dyDescent="0.25">
      <c r="A736" s="437" t="s">
        <v>1815</v>
      </c>
      <c r="B736" s="439">
        <v>45609</v>
      </c>
      <c r="C736" s="439">
        <v>45610</v>
      </c>
      <c r="D736" s="440" t="s">
        <v>216</v>
      </c>
      <c r="E736" s="438">
        <v>1066.75</v>
      </c>
      <c r="F736" s="195">
        <v>100</v>
      </c>
      <c r="G736" s="193"/>
      <c r="H736" s="136">
        <f>Tableau3384[[#This Row],[Montant
CHF]]+Tableau3384[[#This Row],[Abzug/Spesen
CHF]]</f>
        <v>1066.75</v>
      </c>
      <c r="I736" s="188"/>
      <c r="J736" s="189"/>
      <c r="K736" s="189"/>
      <c r="L736" s="298"/>
      <c r="M736" s="445"/>
      <c r="N736" s="439">
        <v>45670</v>
      </c>
      <c r="O736" s="282">
        <f>IF(Tableau3384[[#This Row],[Date du paiement]]&gt;0,"",Tableau3384[[#This Row],[Montant
CHF]])</f>
        <v>1066.75</v>
      </c>
      <c r="P736" s="475">
        <f ca="1">IF(Tableau3384[[#This Row],[Date du paiement]]="",$B$4-Tableau3384[[#This Row],[Écheance]],"")</f>
        <v>-52.53057465278107</v>
      </c>
      <c r="Q736" s="168" t="str">
        <f ca="1">IF(Tableau3384[[#This Row],[Date du paiement]]="",IF(Tableau3384[[#This Row],[jours jusqu''à l''écheance]]&gt;0,Tableau3384[[#This Row],[Montant
CHF]],""),"")</f>
        <v/>
      </c>
      <c r="R736" s="298" t="str">
        <f ca="1">IF(Tableau3384[[#This Row],[Date du paiement]]="",IF(Tableau3384[[#This Row],[jours jusqu''à l''écheance]]-($B$4-$B$11-1)&gt;0,Tableau3384[[#This Row],[Montant
CHF]],""),"")</f>
        <v/>
      </c>
      <c r="S736" s="142"/>
      <c r="T736" s="168" t="str">
        <f>IF(Tableau3384[[#This Row],[Paiements prevus]]="oui",Tableau3384[[#This Row],[Montant prevu à payer CH]],"")</f>
        <v/>
      </c>
      <c r="U736" s="449"/>
      <c r="V736" s="192" t="s">
        <v>736</v>
      </c>
      <c r="W736" s="444"/>
      <c r="X736" s="441"/>
      <c r="Y736" s="181"/>
      <c r="Z736" s="500" t="str">
        <f>IF(Tableau3384[[#This Row],[Méthode du paiement]]="Mastercard","OUI","")</f>
        <v/>
      </c>
      <c r="AA736" s="435" t="s">
        <v>604</v>
      </c>
      <c r="AB736" s="435" t="s">
        <v>1816</v>
      </c>
    </row>
    <row r="737" spans="1:28" s="184" customFormat="1" x14ac:dyDescent="0.25">
      <c r="A737" s="437" t="s">
        <v>16</v>
      </c>
      <c r="B737" s="439">
        <v>45609</v>
      </c>
      <c r="C737" s="439">
        <v>45616</v>
      </c>
      <c r="D737" s="440" t="s">
        <v>18</v>
      </c>
      <c r="E737" s="438">
        <v>6029.2</v>
      </c>
      <c r="F737" s="195">
        <v>0</v>
      </c>
      <c r="G737" s="193"/>
      <c r="H737" s="136">
        <f>Tableau3384[[#This Row],[Montant
CHF]]+Tableau3384[[#This Row],[Abzug/Spesen
CHF]]</f>
        <v>6029.2</v>
      </c>
      <c r="I737" s="188"/>
      <c r="J737" s="189"/>
      <c r="K737" s="189"/>
      <c r="L737" s="298"/>
      <c r="M737" s="445"/>
      <c r="N737" s="439">
        <v>45658</v>
      </c>
      <c r="O737" s="282">
        <f>IF(Tableau3384[[#This Row],[Date du paiement]]&gt;0,"",Tableau3384[[#This Row],[Montant
CHF]])</f>
        <v>6029.2</v>
      </c>
      <c r="P737" s="475">
        <f ca="1">IF(Tableau3384[[#This Row],[Date du paiement]]="",$B$4-Tableau3384[[#This Row],[Écheance]],"")</f>
        <v>-40.53057465278107</v>
      </c>
      <c r="Q737" s="168" t="str">
        <f ca="1">IF(Tableau3384[[#This Row],[Date du paiement]]="",IF(Tableau3384[[#This Row],[jours jusqu''à l''écheance]]&gt;0,Tableau3384[[#This Row],[Montant
CHF]],""),"")</f>
        <v/>
      </c>
      <c r="R737" s="298" t="str">
        <f ca="1">IF(Tableau3384[[#This Row],[Date du paiement]]="",IF(Tableau3384[[#This Row],[jours jusqu''à l''écheance]]&gt;0,Tableau3384[[#This Row],[Montant
CHF]],""),"")</f>
        <v/>
      </c>
      <c r="S737" s="142"/>
      <c r="T737" s="168" t="str">
        <f>IF(Tableau3384[[#This Row],[Paiements prevus]]="oui",Tableau3384[[#This Row],[Montant prevu à payer CH]],"")</f>
        <v/>
      </c>
      <c r="U737" s="449"/>
      <c r="V737" s="192"/>
      <c r="W737" s="444" t="s">
        <v>1788</v>
      </c>
      <c r="X737" s="441"/>
      <c r="Y737" s="181"/>
      <c r="Z737" s="500" t="str">
        <f>IF(Tableau3384[[#This Row],[Méthode du paiement]]="Mastercard","OUI","")</f>
        <v/>
      </c>
      <c r="AA737" s="435" t="s">
        <v>4</v>
      </c>
      <c r="AB737" s="435" t="s">
        <v>1844</v>
      </c>
    </row>
    <row r="738" spans="1:28" s="184" customFormat="1" x14ac:dyDescent="0.25">
      <c r="A738" s="437" t="s">
        <v>17</v>
      </c>
      <c r="B738" s="439">
        <v>45609</v>
      </c>
      <c r="C738" s="439">
        <v>45616</v>
      </c>
      <c r="D738" s="440" t="s">
        <v>18</v>
      </c>
      <c r="E738" s="438">
        <v>978.15</v>
      </c>
      <c r="F738" s="195">
        <v>0</v>
      </c>
      <c r="G738" s="193"/>
      <c r="H738" s="136">
        <f>Tableau3384[[#This Row],[Montant
CHF]]+Tableau3384[[#This Row],[Abzug/Spesen
CHF]]</f>
        <v>978.15</v>
      </c>
      <c r="I738" s="188"/>
      <c r="J738" s="189"/>
      <c r="K738" s="189"/>
      <c r="L738" s="298"/>
      <c r="M738" s="445"/>
      <c r="N738" s="439">
        <v>45658</v>
      </c>
      <c r="O738" s="282">
        <f>IF(Tableau3384[[#This Row],[Date du paiement]]&gt;0,"",Tableau3384[[#This Row],[Montant
CHF]])</f>
        <v>978.15</v>
      </c>
      <c r="P738" s="475">
        <f ca="1">IF(Tableau3384[[#This Row],[Date du paiement]]="",$B$4-Tableau3384[[#This Row],[Écheance]],"")</f>
        <v>-40.53057465278107</v>
      </c>
      <c r="Q738" s="168" t="str">
        <f ca="1">IF(Tableau3384[[#This Row],[Date du paiement]]="",IF(Tableau3384[[#This Row],[jours jusqu''à l''écheance]]&gt;0,Tableau3384[[#This Row],[Montant
CHF]],""),"")</f>
        <v/>
      </c>
      <c r="R738" s="298" t="str">
        <f ca="1">IF(Tableau3384[[#This Row],[Date du paiement]]="",IF(Tableau3384[[#This Row],[jours jusqu''à l''écheance]]&gt;0,Tableau3384[[#This Row],[Montant
CHF]],""),"")</f>
        <v/>
      </c>
      <c r="S738" s="142"/>
      <c r="T738" s="168" t="str">
        <f>IF(Tableau3384[[#This Row],[Paiements prevus]]="oui",Tableau3384[[#This Row],[Montant prevu à payer CH]],"")</f>
        <v/>
      </c>
      <c r="U738" s="449"/>
      <c r="V738" s="192"/>
      <c r="W738" s="444" t="s">
        <v>1788</v>
      </c>
      <c r="X738" s="441"/>
      <c r="Y738" s="181"/>
      <c r="Z738" s="500" t="str">
        <f>IF(Tableau3384[[#This Row],[Méthode du paiement]]="Mastercard","OUI","")</f>
        <v/>
      </c>
      <c r="AA738" s="435" t="s">
        <v>4</v>
      </c>
      <c r="AB738" s="435" t="s">
        <v>1845</v>
      </c>
    </row>
    <row r="739" spans="1:28" s="184" customFormat="1" hidden="1" x14ac:dyDescent="0.25">
      <c r="A739" s="437" t="s">
        <v>56</v>
      </c>
      <c r="B739" s="439">
        <v>45597</v>
      </c>
      <c r="C739" s="439">
        <v>45602</v>
      </c>
      <c r="D739" s="440" t="s">
        <v>57</v>
      </c>
      <c r="E739" s="438">
        <v>5631.6</v>
      </c>
      <c r="F739" s="195" t="s">
        <v>0</v>
      </c>
      <c r="G739" s="193"/>
      <c r="H739" s="136">
        <f>Tableau3384[[#This Row],[Montant
CHF]]+Tableau3384[[#This Row],[Abzug/Spesen
CHF]]</f>
        <v>5631.6</v>
      </c>
      <c r="I739" s="188"/>
      <c r="J739" s="189"/>
      <c r="K739" s="189"/>
      <c r="L739" s="298"/>
      <c r="M739" s="445"/>
      <c r="N739" s="439">
        <v>45617</v>
      </c>
      <c r="O739" s="282" t="str">
        <f>IF(Tableau3384[[#This Row],[Date du paiement]]&gt;0,"",Tableau3384[[#This Row],[Montant
CHF]])</f>
        <v/>
      </c>
      <c r="P739" s="475" t="str">
        <f>IF(Tableau3384[[#This Row],[Date du paiement]]="",$B$4-Tableau3384[[#This Row],[Écheance]],"")</f>
        <v/>
      </c>
      <c r="Q739" s="168" t="str">
        <f>IF(Tableau3384[[#This Row],[Date du paiement]]="",IF(Tableau3384[[#This Row],[jours jusqu''à l''écheance]]&gt;0,Tableau3384[[#This Row],[Montant
CHF]],""),"")</f>
        <v/>
      </c>
      <c r="R739" s="298" t="str">
        <f>IF(Tableau3384[[#This Row],[Date du paiement]]="",IF(Tableau3384[[#This Row],[jours jusqu''à l''écheance]]-($B$4-$B$11-1)&gt;0,Tableau3384[[#This Row],[Montant
CHF]],""),"")</f>
        <v/>
      </c>
      <c r="S739" s="142" t="s">
        <v>634</v>
      </c>
      <c r="T739" s="168">
        <f>IF(Tableau3384[[#This Row],[Paiements prevus]]="oui",Tableau3384[[#This Row],[Montant prevu à payer CH]],"")</f>
        <v>5631.6</v>
      </c>
      <c r="U739" s="449"/>
      <c r="V739" s="192"/>
      <c r="W739" s="444" t="s">
        <v>1839</v>
      </c>
      <c r="X739" s="441">
        <v>45617</v>
      </c>
      <c r="Y739" s="181" t="s">
        <v>58</v>
      </c>
      <c r="Z739" s="500" t="str">
        <f>IF(Tableau3384[[#This Row],[Méthode du paiement]]="Mastercard","OUI","")</f>
        <v/>
      </c>
      <c r="AA739" s="435" t="s">
        <v>43</v>
      </c>
      <c r="AB739" s="435" t="s">
        <v>711</v>
      </c>
    </row>
    <row r="740" spans="1:28" s="184" customFormat="1" x14ac:dyDescent="0.25">
      <c r="A740" s="437" t="s">
        <v>1819</v>
      </c>
      <c r="B740" s="439">
        <v>45614</v>
      </c>
      <c r="C740" s="439">
        <v>45614</v>
      </c>
      <c r="D740" s="440" t="s">
        <v>216</v>
      </c>
      <c r="E740" s="438">
        <v>919.85</v>
      </c>
      <c r="F740" s="195">
        <v>100</v>
      </c>
      <c r="G740" s="193"/>
      <c r="H740" s="136">
        <f>Tableau3384[[#This Row],[Montant
CHF]]+Tableau3384[[#This Row],[Abzug/Spesen
CHF]]</f>
        <v>919.85</v>
      </c>
      <c r="I740" s="188"/>
      <c r="J740" s="189"/>
      <c r="K740" s="189"/>
      <c r="L740" s="298"/>
      <c r="M740" s="445"/>
      <c r="N740" s="439">
        <v>45674</v>
      </c>
      <c r="O740" s="282">
        <f>IF(Tableau3384[[#This Row],[Date du paiement]]&gt;0,"",Tableau3384[[#This Row],[Montant
CHF]])</f>
        <v>919.85</v>
      </c>
      <c r="P740" s="475">
        <f ca="1">IF(Tableau3384[[#This Row],[Date du paiement]]="",$B$4-Tableau3384[[#This Row],[Écheance]],"")</f>
        <v>-56.53057465278107</v>
      </c>
      <c r="Q740" s="168" t="str">
        <f ca="1">IF(Tableau3384[[#This Row],[Date du paiement]]="",IF(Tableau3384[[#This Row],[jours jusqu''à l''écheance]]&gt;0,Tableau3384[[#This Row],[Montant
CHF]],""),"")</f>
        <v/>
      </c>
      <c r="R740" s="298" t="str">
        <f ca="1">IF(Tableau3384[[#This Row],[Date du paiement]]="",IF(Tableau3384[[#This Row],[jours jusqu''à l''écheance]]&gt;0,Tableau3384[[#This Row],[Montant
CHF]],""),"")</f>
        <v/>
      </c>
      <c r="S740" s="142"/>
      <c r="T740" s="168" t="str">
        <f>IF(Tableau3384[[#This Row],[Paiements prevus]]="oui",Tableau3384[[#This Row],[Montant prevu à payer CH]],"")</f>
        <v/>
      </c>
      <c r="U740" s="449"/>
      <c r="V740" s="192"/>
      <c r="W740" s="444" t="s">
        <v>772</v>
      </c>
      <c r="X740" s="441"/>
      <c r="Y740" s="181"/>
      <c r="Z740" s="500" t="str">
        <f>IF(Tableau3384[[#This Row],[Méthode du paiement]]="Mastercard","OUI","")</f>
        <v/>
      </c>
      <c r="AA740" s="435" t="s">
        <v>604</v>
      </c>
      <c r="AB740" s="435" t="s">
        <v>1820</v>
      </c>
    </row>
    <row r="741" spans="1:28" s="184" customFormat="1" x14ac:dyDescent="0.25">
      <c r="A741" s="437" t="s">
        <v>1821</v>
      </c>
      <c r="B741" s="439">
        <v>45614</v>
      </c>
      <c r="C741" s="439">
        <v>45614</v>
      </c>
      <c r="D741" s="440" t="s">
        <v>25</v>
      </c>
      <c r="E741" s="438">
        <v>40</v>
      </c>
      <c r="F741" s="195">
        <v>0</v>
      </c>
      <c r="G741" s="193"/>
      <c r="H741" s="136">
        <f>Tableau3384[[#This Row],[Montant
CHF]]+Tableau3384[[#This Row],[Abzug/Spesen
CHF]]</f>
        <v>40</v>
      </c>
      <c r="I741" s="188"/>
      <c r="J741" s="189"/>
      <c r="K741" s="189"/>
      <c r="L741" s="298"/>
      <c r="M741" s="445"/>
      <c r="N741" s="439">
        <v>45634</v>
      </c>
      <c r="O741" s="282">
        <f>IF(Tableau3384[[#This Row],[Date du paiement]]&gt;0,"",Tableau3384[[#This Row],[Montant
CHF]])</f>
        <v>40</v>
      </c>
      <c r="P741" s="475">
        <f ca="1">IF(Tableau3384[[#This Row],[Date du paiement]]="",$B$4-Tableau3384[[#This Row],[Écheance]],"")</f>
        <v>-16.53057465278107</v>
      </c>
      <c r="Q741" s="168" t="str">
        <f ca="1">IF(Tableau3384[[#This Row],[Date du paiement]]="",IF(Tableau3384[[#This Row],[jours jusqu''à l''écheance]]&gt;0,Tableau3384[[#This Row],[Montant
CHF]],""),"")</f>
        <v/>
      </c>
      <c r="R741" s="298" t="str">
        <f ca="1">IF(Tableau3384[[#This Row],[Date du paiement]]="",IF(Tableau3384[[#This Row],[jours jusqu''à l''écheance]]&gt;0,Tableau3384[[#This Row],[Montant
CHF]],""),"")</f>
        <v/>
      </c>
      <c r="S741" s="142"/>
      <c r="T741" s="168" t="str">
        <f>IF(Tableau3384[[#This Row],[Paiements prevus]]="oui",Tableau3384[[#This Row],[Montant prevu à payer CH]],"")</f>
        <v/>
      </c>
      <c r="U741" s="449"/>
      <c r="V741" s="192"/>
      <c r="W741" s="444" t="s">
        <v>772</v>
      </c>
      <c r="X741" s="441"/>
      <c r="Y741" s="181"/>
      <c r="Z741" s="500" t="str">
        <f>IF(Tableau3384[[#This Row],[Méthode du paiement]]="Mastercard","OUI","")</f>
        <v/>
      </c>
      <c r="AA741" s="435" t="s">
        <v>26</v>
      </c>
      <c r="AB741" s="435" t="s">
        <v>1822</v>
      </c>
    </row>
    <row r="742" spans="1:28" s="184" customFormat="1" x14ac:dyDescent="0.25">
      <c r="A742" s="437" t="s">
        <v>1837</v>
      </c>
      <c r="B742" s="439">
        <v>45614</v>
      </c>
      <c r="C742" s="439">
        <v>45616</v>
      </c>
      <c r="D742" s="440" t="s">
        <v>13</v>
      </c>
      <c r="E742" s="438">
        <f>Tableau3384[[#This Row],[Montant
EUR]]*Tableau3384[[#This Row],[Taux 
de change]]</f>
        <v>32405.4</v>
      </c>
      <c r="F742" s="195">
        <v>0</v>
      </c>
      <c r="G742" s="193"/>
      <c r="H742" s="136">
        <f>Tableau3384[[#This Row],[Montant
CHF]]+Tableau3384[[#This Row],[Abzug/Spesen
CHF]]</f>
        <v>32405.4</v>
      </c>
      <c r="I742" s="188">
        <v>1.02</v>
      </c>
      <c r="J742" s="189">
        <v>31770</v>
      </c>
      <c r="K742" s="189"/>
      <c r="L742" s="298"/>
      <c r="M742" s="445"/>
      <c r="N742" s="439">
        <v>45675</v>
      </c>
      <c r="O742" s="282">
        <f>IF(Tableau3384[[#This Row],[Date du paiement]]&gt;0,"",Tableau3384[[#This Row],[Montant
CHF]])</f>
        <v>32405.4</v>
      </c>
      <c r="P742" s="475">
        <f ca="1">IF(Tableau3384[[#This Row],[Date du paiement]]="",$B$4-Tableau3384[[#This Row],[Écheance]],"")</f>
        <v>-57.53057465278107</v>
      </c>
      <c r="Q742" s="168" t="str">
        <f ca="1">IF(Tableau3384[[#This Row],[Date du paiement]]="",IF(Tableau3384[[#This Row],[jours jusqu''à l''écheance]]&gt;0,Tableau3384[[#This Row],[Montant
CHF]],""),"")</f>
        <v/>
      </c>
      <c r="R742" s="298" t="str">
        <f ca="1">IF(Tableau3384[[#This Row],[Date du paiement]]="",IF(Tableau3384[[#This Row],[jours jusqu''à l''écheance]]&gt;0,Tableau3384[[#This Row],[Montant
CHF]],""),"")</f>
        <v/>
      </c>
      <c r="S742" s="142"/>
      <c r="T742" s="168" t="str">
        <f>IF(Tableau3384[[#This Row],[Paiements prevus]]="oui",Tableau3384[[#This Row],[Montant prevu à payer CH]],"")</f>
        <v/>
      </c>
      <c r="U742" s="449"/>
      <c r="V742" s="192"/>
      <c r="W742" s="444" t="s">
        <v>1743</v>
      </c>
      <c r="X742" s="441"/>
      <c r="Y742" s="181"/>
      <c r="Z742" s="500" t="str">
        <f>IF(Tableau3384[[#This Row],[Méthode du paiement]]="Mastercard","OUI","")</f>
        <v/>
      </c>
      <c r="AA742" s="435" t="s">
        <v>14</v>
      </c>
      <c r="AB742" s="435" t="s">
        <v>1838</v>
      </c>
    </row>
    <row r="743" spans="1:28" s="184" customFormat="1" x14ac:dyDescent="0.25">
      <c r="A743" s="437" t="s">
        <v>1840</v>
      </c>
      <c r="B743" s="439">
        <v>45615</v>
      </c>
      <c r="C743" s="439">
        <v>45617</v>
      </c>
      <c r="D743" s="440" t="s">
        <v>117</v>
      </c>
      <c r="E743" s="438">
        <f>Tableau3384[[#This Row],[Montant
EUR]]*Tableau3384[[#This Row],[Taux 
de change]]</f>
        <v>584.46</v>
      </c>
      <c r="F743" s="195">
        <v>0</v>
      </c>
      <c r="G743" s="193"/>
      <c r="H743" s="136">
        <f>Tableau3384[[#This Row],[Montant
CHF]]+Tableau3384[[#This Row],[Abzug/Spesen
CHF]]</f>
        <v>584.46</v>
      </c>
      <c r="I743" s="188">
        <v>1.02</v>
      </c>
      <c r="J743" s="189">
        <v>573</v>
      </c>
      <c r="K743" s="189"/>
      <c r="L743" s="298"/>
      <c r="M743" s="445"/>
      <c r="N743" s="439">
        <v>45645</v>
      </c>
      <c r="O743" s="282">
        <f>IF(Tableau3384[[#This Row],[Date du paiement]]&gt;0,"",Tableau3384[[#This Row],[Montant
CHF]])</f>
        <v>584.46</v>
      </c>
      <c r="P743" s="475">
        <f ca="1">IF(Tableau3384[[#This Row],[Date du paiement]]="",$B$4-Tableau3384[[#This Row],[Écheance]],"")</f>
        <v>-27.53057465278107</v>
      </c>
      <c r="Q743" s="168" t="str">
        <f ca="1">IF(Tableau3384[[#This Row],[Date du paiement]]="",IF(Tableau3384[[#This Row],[jours jusqu''à l''écheance]]&gt;0,Tableau3384[[#This Row],[Montant
CHF]],""),"")</f>
        <v/>
      </c>
      <c r="R743" s="298" t="str">
        <f ca="1">IF(Tableau3384[[#This Row],[Date du paiement]]="",IF(Tableau3384[[#This Row],[jours jusqu''à l''écheance]]&gt;0,Tableau3384[[#This Row],[Montant
CHF]],""),"")</f>
        <v/>
      </c>
      <c r="S743" s="142"/>
      <c r="T743" s="168" t="str">
        <f>IF(Tableau3384[[#This Row],[Paiements prevus]]="oui",Tableau3384[[#This Row],[Montant prevu à payer CH]],"")</f>
        <v/>
      </c>
      <c r="U743" s="449"/>
      <c r="V743" s="192"/>
      <c r="W743" s="444" t="s">
        <v>772</v>
      </c>
      <c r="X743" s="441"/>
      <c r="Y743" s="181"/>
      <c r="Z743" s="500" t="str">
        <f>IF(Tableau3384[[#This Row],[Méthode du paiement]]="Mastercard","OUI","")</f>
        <v/>
      </c>
      <c r="AA743" s="435" t="s">
        <v>1543</v>
      </c>
      <c r="AB743" s="435" t="s">
        <v>1841</v>
      </c>
    </row>
    <row r="744" spans="1:28" s="184" customFormat="1" x14ac:dyDescent="0.25">
      <c r="A744" s="437" t="s">
        <v>1842</v>
      </c>
      <c r="B744" s="439">
        <v>45616</v>
      </c>
      <c r="C744" s="439">
        <v>45617</v>
      </c>
      <c r="D744" s="440" t="s">
        <v>196</v>
      </c>
      <c r="E744" s="438">
        <v>310.2</v>
      </c>
      <c r="F744" s="195">
        <v>8.1</v>
      </c>
      <c r="G744" s="193"/>
      <c r="H744" s="136">
        <f>Tableau3384[[#This Row],[Montant
CHF]]+Tableau3384[[#This Row],[Abzug/Spesen
CHF]]</f>
        <v>310.2</v>
      </c>
      <c r="I744" s="188"/>
      <c r="J744" s="189"/>
      <c r="K744" s="189"/>
      <c r="L744" s="298"/>
      <c r="M744" s="445"/>
      <c r="N744" s="439">
        <v>45626</v>
      </c>
      <c r="O744" s="282">
        <f>IF(Tableau3384[[#This Row],[Date du paiement]]&gt;0,"",Tableau3384[[#This Row],[Montant
CHF]])</f>
        <v>310.2</v>
      </c>
      <c r="P744" s="475">
        <f ca="1">IF(Tableau3384[[#This Row],[Date du paiement]]="",$B$4-Tableau3384[[#This Row],[Écheance]],"")</f>
        <v>-8.5305746527810697</v>
      </c>
      <c r="Q744" s="168" t="str">
        <f ca="1">IF(Tableau3384[[#This Row],[Date du paiement]]="",IF(Tableau3384[[#This Row],[jours jusqu''à l''écheance]]&gt;0,Tableau3384[[#This Row],[Montant
CHF]],""),"")</f>
        <v/>
      </c>
      <c r="R744" s="298" t="str">
        <f ca="1">IF(Tableau3384[[#This Row],[Date du paiement]]="",IF(Tableau3384[[#This Row],[jours jusqu''à l''écheance]]&gt;0,Tableau3384[[#This Row],[Montant
CHF]],""),"")</f>
        <v/>
      </c>
      <c r="S744" s="142"/>
      <c r="T744" s="168" t="str">
        <f>IF(Tableau3384[[#This Row],[Paiements prevus]]="oui",Tableau3384[[#This Row],[Montant prevu à payer CH]],"")</f>
        <v/>
      </c>
      <c r="U744" s="449"/>
      <c r="V744" s="192" t="s">
        <v>735</v>
      </c>
      <c r="W744" s="444"/>
      <c r="X744" s="441"/>
      <c r="Y744" s="181"/>
      <c r="Z744" s="500" t="str">
        <f>IF(Tableau3384[[#This Row],[Méthode du paiement]]="Mastercard","OUI","")</f>
        <v/>
      </c>
      <c r="AA744" s="435" t="s">
        <v>4</v>
      </c>
      <c r="AB744" s="435" t="s">
        <v>1843</v>
      </c>
    </row>
    <row r="745" spans="1:28" s="184" customFormat="1" hidden="1" x14ac:dyDescent="0.25">
      <c r="A745" s="437">
        <v>1245742</v>
      </c>
      <c r="B745" s="439">
        <v>45627</v>
      </c>
      <c r="C745" s="439">
        <v>45292</v>
      </c>
      <c r="D745" s="440" t="s">
        <v>2</v>
      </c>
      <c r="E745" s="438">
        <v>1523.55</v>
      </c>
      <c r="F745" s="195">
        <v>8.1</v>
      </c>
      <c r="G745" s="193"/>
      <c r="H745" s="136">
        <f>Tableau3384[[#This Row],[Montant
CHF]]+Tableau3384[[#This Row],[Abzug/Spesen
CHF]]</f>
        <v>1523.55</v>
      </c>
      <c r="I745" s="188"/>
      <c r="J745" s="189"/>
      <c r="K745" s="189"/>
      <c r="L745" s="298"/>
      <c r="M745" s="445"/>
      <c r="N745" s="439">
        <v>45627</v>
      </c>
      <c r="O745" s="282">
        <f>IF(Tableau3384[[#This Row],[Date du paiement]]&gt;0,"",Tableau3384[[#This Row],[Montant
CHF]])</f>
        <v>1523.55</v>
      </c>
      <c r="P745" s="474">
        <f ca="1">IF(Tableau3384[[#This Row],[Date du paiement]]="",$B$4-Tableau3384[[#This Row],[Écheance]],"")</f>
        <v>-9.5305746527810697</v>
      </c>
      <c r="Q745" s="168" t="str">
        <f ca="1">IF(Tableau3384[[#This Row],[Date du paiement]]="",IF(Tableau3384[[#This Row],[jours jusqu''à l''écheance]]&gt;0,Tableau3384[[#This Row],[Montant
CHF]],""),"")</f>
        <v/>
      </c>
      <c r="R745" s="298" t="str">
        <f ca="1">IF(Tableau3384[[#This Row],[Date du paiement]]="",IF(Tableau3384[[#This Row],[jours jusqu''à l''écheance]]-($B$4-$B$11-1)&gt;0,Tableau3384[[#This Row],[Montant
CHF]],""),"")</f>
        <v/>
      </c>
      <c r="S745" s="142"/>
      <c r="T745" s="168" t="str">
        <f>IF(Tableau3384[[#This Row],[Paiements prevus]]="oui",Tableau3384[[#This Row],[Montant prevu à payer CH]],"")</f>
        <v/>
      </c>
      <c r="U745" s="449"/>
      <c r="V745" s="192" t="s">
        <v>735</v>
      </c>
      <c r="W745" s="444"/>
      <c r="X745" s="441"/>
      <c r="Y745" s="181"/>
      <c r="Z745" s="447" t="str">
        <f>IF(Tableau3384[[#This Row],[Méthode du paiement]]="Mastercard","OUI","")</f>
        <v/>
      </c>
      <c r="AA745" s="435" t="s">
        <v>1162</v>
      </c>
      <c r="AB745" s="435" t="s">
        <v>714</v>
      </c>
    </row>
    <row r="746" spans="1:28" s="184" customFormat="1" hidden="1" x14ac:dyDescent="0.25">
      <c r="A746" s="437" t="s">
        <v>632</v>
      </c>
      <c r="B746" s="439">
        <v>45627</v>
      </c>
      <c r="C746" s="439">
        <v>45292</v>
      </c>
      <c r="D746" s="440" t="s">
        <v>3</v>
      </c>
      <c r="E746" s="438">
        <v>3438</v>
      </c>
      <c r="F746" s="195">
        <v>0</v>
      </c>
      <c r="G746" s="193"/>
      <c r="H746" s="136">
        <f>Tableau3384[[#This Row],[Montant
CHF]]+Tableau3384[[#This Row],[Abzug/Spesen
CHF]]</f>
        <v>3438</v>
      </c>
      <c r="I746" s="188"/>
      <c r="J746" s="189"/>
      <c r="K746" s="189"/>
      <c r="L746" s="298"/>
      <c r="M746" s="445"/>
      <c r="N746" s="439">
        <v>45627</v>
      </c>
      <c r="O746" s="282">
        <f>IF(Tableau3384[[#This Row],[Date du paiement]]&gt;0,"",Tableau3384[[#This Row],[Montant
CHF]])</f>
        <v>3438</v>
      </c>
      <c r="P746" s="474">
        <f ca="1">IF(Tableau3384[[#This Row],[Date du paiement]]="",$B$4-Tableau3384[[#This Row],[Écheance]],"")</f>
        <v>-9.5305746527810697</v>
      </c>
      <c r="Q746" s="168" t="str">
        <f ca="1">IF(Tableau3384[[#This Row],[Date du paiement]]="",IF(Tableau3384[[#This Row],[jours jusqu''à l''écheance]]&gt;0,Tableau3384[[#This Row],[Montant
CHF]],""),"")</f>
        <v/>
      </c>
      <c r="R746" s="298" t="str">
        <f ca="1">IF(Tableau3384[[#This Row],[Date du paiement]]="",IF(Tableau3384[[#This Row],[jours jusqu''à l''écheance]]-($B$4-$B$11-1)&gt;0,Tableau3384[[#This Row],[Montant
CHF]],""),"")</f>
        <v/>
      </c>
      <c r="S746" s="142"/>
      <c r="T746" s="168" t="str">
        <f>IF(Tableau3384[[#This Row],[Paiements prevus]]="oui",Tableau3384[[#This Row],[Montant prevu à payer CH]],"")</f>
        <v/>
      </c>
      <c r="U746" s="449"/>
      <c r="V746" s="192" t="s">
        <v>735</v>
      </c>
      <c r="W746" s="444"/>
      <c r="X746" s="441"/>
      <c r="Y746" s="181"/>
      <c r="Z746" s="447" t="str">
        <f>IF(Tableau3384[[#This Row],[Méthode du paiement]]="Mastercard","OUI","")</f>
        <v/>
      </c>
      <c r="AA746" s="435" t="s">
        <v>6</v>
      </c>
      <c r="AB746" s="435" t="s">
        <v>714</v>
      </c>
    </row>
    <row r="747" spans="1:28" s="184" customFormat="1" hidden="1" x14ac:dyDescent="0.25">
      <c r="A747" s="437">
        <v>214112</v>
      </c>
      <c r="B747" s="439">
        <v>45627</v>
      </c>
      <c r="C747" s="439">
        <v>45425</v>
      </c>
      <c r="D747" s="440" t="s">
        <v>7</v>
      </c>
      <c r="E747" s="438">
        <v>11585</v>
      </c>
      <c r="F747" s="195">
        <v>0</v>
      </c>
      <c r="G747" s="193"/>
      <c r="H747" s="136">
        <f>Tableau3384[[#This Row],[Montant
CHF]]+Tableau3384[[#This Row],[Abzug/Spesen
CHF]]</f>
        <v>11585</v>
      </c>
      <c r="I747" s="188"/>
      <c r="J747" s="189"/>
      <c r="K747" s="189"/>
      <c r="L747" s="298"/>
      <c r="M747" s="445"/>
      <c r="N747" s="439">
        <v>45627</v>
      </c>
      <c r="O747" s="282">
        <f>IF(Tableau3384[[#This Row],[Date du paiement]]&gt;0,"",Tableau3384[[#This Row],[Montant
CHF]])</f>
        <v>11585</v>
      </c>
      <c r="P747" s="474">
        <f ca="1">IF(Tableau3384[[#This Row],[Date du paiement]]="",$B$4-Tableau3384[[#This Row],[Écheance]],"")</f>
        <v>-9.5305746527810697</v>
      </c>
      <c r="Q747" s="168" t="str">
        <f ca="1">IF(Tableau3384[[#This Row],[Date du paiement]]="",IF(Tableau3384[[#This Row],[jours jusqu''à l''écheance]]&gt;0,Tableau3384[[#This Row],[Montant
CHF]],""),"")</f>
        <v/>
      </c>
      <c r="R747" s="298" t="str">
        <f ca="1">IF(Tableau3384[[#This Row],[Date du paiement]]="",IF(Tableau3384[[#This Row],[jours jusqu''à l''écheance]]-($B$4-$B$11-1)&gt;0,Tableau3384[[#This Row],[Montant
CHF]],""),"")</f>
        <v/>
      </c>
      <c r="S747" s="142"/>
      <c r="T747" s="168" t="str">
        <f>IF(Tableau3384[[#This Row],[Paiements prevus]]="oui",Tableau3384[[#This Row],[Montant prevu à payer CH]],"")</f>
        <v/>
      </c>
      <c r="U747" s="449"/>
      <c r="V747" s="192" t="s">
        <v>735</v>
      </c>
      <c r="W747" s="444"/>
      <c r="X747" s="441"/>
      <c r="Y747" s="181"/>
      <c r="Z747" s="447" t="str">
        <f>IF(Tableau3384[[#This Row],[Méthode du paiement]]="Mastercard","OUI","")</f>
        <v/>
      </c>
      <c r="AA747" s="435" t="s">
        <v>6</v>
      </c>
      <c r="AB747" s="435" t="s">
        <v>714</v>
      </c>
    </row>
    <row r="748" spans="1:28" s="146" customFormat="1" ht="24.75" customHeight="1" x14ac:dyDescent="0.25">
      <c r="A748" s="51" t="s">
        <v>694</v>
      </c>
      <c r="B748" s="53"/>
      <c r="C748" s="53"/>
      <c r="D748" s="53"/>
      <c r="E748" s="302">
        <f>SUBTOTAL(9,E22:E747)</f>
        <v>65070.670000000006</v>
      </c>
      <c r="F748" s="119"/>
      <c r="G748" s="302"/>
      <c r="H748" s="261"/>
      <c r="I748" s="302"/>
      <c r="J748" s="302">
        <f>SUBTOTAL(9,J22:J747)</f>
        <v>38173</v>
      </c>
      <c r="K748" s="302">
        <f>SUBTOTAL(9,K22:K747)</f>
        <v>0</v>
      </c>
      <c r="L748" s="360"/>
      <c r="M748" s="86"/>
      <c r="N748" s="52"/>
      <c r="O748" s="288"/>
      <c r="P748" s="289"/>
      <c r="Q748" s="302">
        <f ca="1">SUBTOTAL(9,Q22:Q747)</f>
        <v>7094.9000000000005</v>
      </c>
      <c r="R748" s="302"/>
      <c r="S748" s="297"/>
      <c r="T748" s="302">
        <f>SUBTOTAL(9,T22:T747)</f>
        <v>0</v>
      </c>
      <c r="U748" s="132"/>
      <c r="V748" s="75"/>
      <c r="W748" s="402"/>
      <c r="X748" s="52"/>
      <c r="Y748" s="54"/>
      <c r="Z748" s="125"/>
      <c r="AA748" s="55"/>
      <c r="AB748" s="55"/>
    </row>
    <row r="750" spans="1:28" x14ac:dyDescent="0.25">
      <c r="E750" s="183"/>
    </row>
    <row r="751" spans="1:28" x14ac:dyDescent="0.25">
      <c r="E751" s="183"/>
      <c r="J751" s="183"/>
    </row>
    <row r="752" spans="1:28" x14ac:dyDescent="0.25">
      <c r="E752" s="183"/>
    </row>
    <row r="753" spans="2:7" x14ac:dyDescent="0.25">
      <c r="E753" s="183"/>
    </row>
    <row r="754" spans="2:7" x14ac:dyDescent="0.25">
      <c r="E754" s="102"/>
    </row>
    <row r="755" spans="2:7" x14ac:dyDescent="0.25">
      <c r="B755" s="185"/>
      <c r="C755" s="186"/>
      <c r="D755" s="183"/>
      <c r="E755" s="195"/>
      <c r="F755" s="195"/>
      <c r="G755" s="193"/>
    </row>
    <row r="756" spans="2:7" x14ac:dyDescent="0.25">
      <c r="B756" s="185"/>
      <c r="C756" s="186"/>
      <c r="D756" s="183"/>
      <c r="E756" s="183"/>
      <c r="F756" s="195"/>
      <c r="G756" s="193"/>
    </row>
    <row r="757" spans="2:7" x14ac:dyDescent="0.25">
      <c r="B757" s="185"/>
      <c r="C757" s="186"/>
      <c r="D757" s="183"/>
      <c r="E757" s="195"/>
      <c r="F757" s="195"/>
      <c r="G757" s="193"/>
    </row>
    <row r="758" spans="2:7" x14ac:dyDescent="0.25">
      <c r="B758" s="185"/>
      <c r="C758" s="186"/>
      <c r="D758" s="183"/>
      <c r="E758" s="195"/>
      <c r="F758" s="195"/>
      <c r="G758" s="193"/>
    </row>
    <row r="759" spans="2:7" x14ac:dyDescent="0.25">
      <c r="B759" s="185"/>
      <c r="C759" s="186"/>
      <c r="D759" s="183"/>
      <c r="E759" s="195"/>
      <c r="F759" s="195"/>
      <c r="G759" s="193"/>
    </row>
    <row r="760" spans="2:7" x14ac:dyDescent="0.25">
      <c r="B760" s="185"/>
      <c r="C760" s="186"/>
      <c r="D760" s="183"/>
      <c r="E760" s="195"/>
      <c r="F760" s="195"/>
      <c r="G760" s="193"/>
    </row>
    <row r="761" spans="2:7" x14ac:dyDescent="0.25">
      <c r="B761" s="185"/>
      <c r="C761" s="186"/>
      <c r="D761" s="183"/>
      <c r="E761" s="308"/>
      <c r="F761" s="195"/>
      <c r="G761" s="193"/>
    </row>
    <row r="762" spans="2:7" x14ac:dyDescent="0.25">
      <c r="B762" s="185"/>
      <c r="C762" s="186"/>
      <c r="D762" s="183"/>
      <c r="E762" s="195"/>
      <c r="F762" s="195"/>
      <c r="G762" s="193"/>
    </row>
    <row r="763" spans="2:7" x14ac:dyDescent="0.25">
      <c r="B763" s="185"/>
      <c r="C763" s="186"/>
      <c r="D763" s="183"/>
      <c r="E763" s="195"/>
      <c r="F763" s="195"/>
      <c r="G763" s="193"/>
    </row>
    <row r="764" spans="2:7" x14ac:dyDescent="0.25">
      <c r="B764" s="185"/>
      <c r="C764" s="186"/>
      <c r="D764" s="183"/>
      <c r="E764" s="195"/>
      <c r="F764" s="195"/>
      <c r="G764" s="193"/>
    </row>
    <row r="765" spans="2:7" x14ac:dyDescent="0.25">
      <c r="B765" s="185"/>
      <c r="C765" s="186"/>
      <c r="D765" s="183"/>
      <c r="E765" s="195"/>
      <c r="F765" s="195"/>
      <c r="G765" s="193"/>
    </row>
    <row r="766" spans="2:7" x14ac:dyDescent="0.25">
      <c r="B766" s="185"/>
      <c r="C766" s="186"/>
      <c r="D766" s="183"/>
      <c r="E766" s="195"/>
      <c r="F766" s="195"/>
      <c r="G766" s="193"/>
    </row>
    <row r="767" spans="2:7" x14ac:dyDescent="0.25">
      <c r="B767" s="185"/>
      <c r="C767" s="185"/>
      <c r="D767" s="186"/>
      <c r="E767" s="183"/>
      <c r="F767" s="195"/>
      <c r="G767" s="193"/>
    </row>
    <row r="768" spans="2:7" x14ac:dyDescent="0.25">
      <c r="B768" s="185"/>
      <c r="C768" s="185"/>
      <c r="D768" s="186"/>
      <c r="E768" s="183"/>
      <c r="F768" s="195"/>
      <c r="G768" s="193"/>
    </row>
  </sheetData>
  <sheetProtection formatCells="0" formatColumns="0" formatRows="0" insertColumns="0" insertRows="0" insertHyperlinks="0" deleteColumns="0" deleteRows="0" pivotTables="0"/>
  <dataConsolidate/>
  <phoneticPr fontId="10" type="noConversion"/>
  <conditionalFormatting sqref="X15:X19 Z2:Z14">
    <cfRule type="cellIs" dxfId="12" priority="263" stopIfTrue="1" operator="equal">
      <formula>"A"</formula>
    </cfRule>
  </conditionalFormatting>
  <conditionalFormatting sqref="X15:X19 Z2:Z14">
    <cfRule type="cellIs" dxfId="11" priority="262" stopIfTrue="1" operator="equal">
      <formula>"R"</formula>
    </cfRule>
  </conditionalFormatting>
  <conditionalFormatting sqref="X15:X19 Z2:Z14">
    <cfRule type="cellIs" dxfId="10" priority="260" stopIfTrue="1" operator="equal">
      <formula>"S"</formula>
    </cfRule>
    <cfRule type="cellIs" dxfId="9" priority="261" stopIfTrue="1" operator="equal">
      <formula>"C"</formula>
    </cfRule>
  </conditionalFormatting>
  <conditionalFormatting sqref="L4:M4 L15:M20 U2:U20 U22:U1048576">
    <cfRule type="cellIs" dxfId="8" priority="248" stopIfTrue="1" operator="greaterThan">
      <formula>0</formula>
    </cfRule>
  </conditionalFormatting>
  <conditionalFormatting sqref="L4:M4 L15:M20 U2:U20 U22:U1048576">
    <cfRule type="cellIs" dxfId="7" priority="247" operator="greaterThan">
      <formula>1</formula>
    </cfRule>
  </conditionalFormatting>
  <conditionalFormatting sqref="X20">
    <cfRule type="cellIs" dxfId="6" priority="10" stopIfTrue="1" operator="equal">
      <formula>"A"</formula>
    </cfRule>
  </conditionalFormatting>
  <conditionalFormatting sqref="X20">
    <cfRule type="cellIs" dxfId="5" priority="9" stopIfTrue="1" operator="equal">
      <formula>"R"</formula>
    </cfRule>
  </conditionalFormatting>
  <conditionalFormatting sqref="X20">
    <cfRule type="cellIs" dxfId="4" priority="7" stopIfTrue="1" operator="equal">
      <formula>"S"</formula>
    </cfRule>
    <cfRule type="cellIs" dxfId="3" priority="8" stopIfTrue="1" operator="equal">
      <formula>"C"</formula>
    </cfRule>
  </conditionalFormatting>
  <dataValidations count="1">
    <dataValidation type="list" allowBlank="1" showInputMessage="1" showErrorMessage="1" sqref="B25:D25 Z25:AA25 AB20:AB34 D23:D24 B70:D70 D20:D21 Z70:AB70 B102:D102 Z102:AB102 B183:D183 Z183:AB183 A184 B230:D230 B300:D300 Z300:AB300 A20:C24 X230:AB230 D22:K22 A103:E182 A71:E101 E20:E24 A186:A229 N300 M183:N183 N102 N70 N20:N25 M230:N230 U457:W458 A2:B2 D2:E2 Y22:AC22 S20:S24 S103:S182 S71:S101 S184:S229 P15:Q15 S15 AC20:XFD24 Y23:Y24 D353 E358:E359 E355:E356 L2:N4 T20:T21 G20:M24 G71:O101 G103:O182 G184:O229 B16:B19 A17:B19 O20:O24 AA184:XFD229 Y20:Y21 S231:S299 L15:N15 B3:E3 M4:M14 C4:F4 P2:R4 S301:S352 N366:O747 F751:I752 AA71:XFD101 S26:S69 AA231:XFD299 K751:XES752 J16:XFD19 S2:XFD14 U20:X24 U15:XFD15 E470:E567 G231:O299 A231:E299 A301:E352 G301:O352 E751:E766 G26:O69 X457:Z457 B763:D764 B761 A765:D766 G755:XES766 F753:XES754 A767:XES1048576 E363:E468 B184:E229 G355:O365 AA26:XFD69 AB592:AB593 A354:A360 AA301:AB523 AB524:AB528 F748:XES750 AA524:AA529 AA591:AA593 M367:M525 U26:Y69 U301:Y352 U231:Y299 U71:Y101 XET710:XFD1048576 AA20:AA24 U103:Y182 AA103:XFD182 Z20:Z229 A26:E69 U355:Y456 AC710:XES747 J751 AA530:AB590 A4:B12 U184:Y229 Z231:Z747 C5:C9 G366:L747 S354:S747 M568:M747 P20:R747 AC301:XFD709 B354:D760 F2:F747 A362:A764 E569:E749 AA594:AB747 U459:Y747" xr:uid="{D20B3474-A145-49B3-992F-751533088A90}">
      <formula1>_xlnm.Print_Titles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Footer>&amp;L&amp;D&amp;Rpage &amp;P de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5973-9E74-45E0-8577-84AD80F3E76E}">
  <dimension ref="A4:AP22"/>
  <sheetViews>
    <sheetView workbookViewId="0">
      <pane xSplit="1" ySplit="4" topLeftCell="I5" activePane="bottomRight" state="frozen"/>
      <selection pane="topRight" activeCell="C1" sqref="C1"/>
      <selection pane="bottomLeft" activeCell="A5" sqref="A5"/>
      <selection pane="bottomRight" activeCell="AB11" sqref="AB11"/>
    </sheetView>
  </sheetViews>
  <sheetFormatPr baseColWidth="10" defaultRowHeight="15" outlineLevelCol="1" x14ac:dyDescent="0.25"/>
  <cols>
    <col min="1" max="1" width="21.7109375" customWidth="1"/>
    <col min="2" max="2" width="11.42578125" style="50" hidden="1" customWidth="1"/>
    <col min="3" max="8" width="11.42578125" hidden="1" customWidth="1"/>
    <col min="9" max="26" width="11.42578125" hidden="1" customWidth="1" outlineLevel="1"/>
    <col min="27" max="27" width="0" hidden="1" customWidth="1" outlineLevel="1"/>
    <col min="28" max="28" width="11.42578125" collapsed="1"/>
  </cols>
  <sheetData>
    <row r="4" spans="1:42" s="10" customFormat="1" x14ac:dyDescent="0.25">
      <c r="B4" s="48">
        <v>45331</v>
      </c>
      <c r="C4" s="150">
        <v>45387</v>
      </c>
      <c r="D4" s="150">
        <v>45394</v>
      </c>
      <c r="E4" s="150">
        <v>45401</v>
      </c>
      <c r="F4" s="150">
        <v>45408</v>
      </c>
      <c r="G4" s="150">
        <v>45436</v>
      </c>
      <c r="H4" s="150">
        <v>45443</v>
      </c>
      <c r="I4" s="150">
        <v>45450</v>
      </c>
      <c r="J4" s="150">
        <f>+I4+7</f>
        <v>45457</v>
      </c>
      <c r="K4" s="150">
        <v>45464</v>
      </c>
      <c r="L4" s="150">
        <f>K4+7</f>
        <v>45471</v>
      </c>
      <c r="M4" s="150">
        <f>L4+7</f>
        <v>45478</v>
      </c>
      <c r="N4" s="150">
        <f>M4+7</f>
        <v>45485</v>
      </c>
      <c r="O4" s="150">
        <v>45492</v>
      </c>
      <c r="P4" s="150">
        <v>45506</v>
      </c>
      <c r="Q4" s="150">
        <f>P4+7</f>
        <v>45513</v>
      </c>
      <c r="R4" s="322">
        <v>45520</v>
      </c>
      <c r="S4" s="150">
        <v>45527</v>
      </c>
      <c r="T4" s="150">
        <v>45534</v>
      </c>
      <c r="U4" s="150">
        <v>45541</v>
      </c>
      <c r="V4" s="150">
        <v>45562</v>
      </c>
      <c r="W4" s="150">
        <v>45569</v>
      </c>
      <c r="X4" s="150">
        <v>45576</v>
      </c>
      <c r="Y4" s="150">
        <v>45583</v>
      </c>
      <c r="Z4" s="450">
        <v>45590</v>
      </c>
      <c r="AA4" s="150">
        <v>45597</v>
      </c>
      <c r="AB4" s="199">
        <v>45604</v>
      </c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</row>
    <row r="5" spans="1:42" s="179" customFormat="1" x14ac:dyDescent="0.25">
      <c r="A5" s="179" t="s">
        <v>656</v>
      </c>
      <c r="I5" s="8">
        <v>364756.92</v>
      </c>
      <c r="J5" s="8">
        <v>424278.58</v>
      </c>
      <c r="K5" s="8">
        <v>464508.34</v>
      </c>
      <c r="L5" s="8">
        <v>422055.83279999997</v>
      </c>
      <c r="M5" s="8">
        <v>417206.53</v>
      </c>
      <c r="N5" s="8">
        <v>379221.11</v>
      </c>
      <c r="O5" s="8">
        <v>363313.06</v>
      </c>
      <c r="P5" s="8">
        <v>324559.55</v>
      </c>
      <c r="Q5" s="8">
        <v>274017.5</v>
      </c>
      <c r="R5" s="169">
        <v>256494.28</v>
      </c>
      <c r="S5" s="8">
        <v>272795.51</v>
      </c>
      <c r="T5" s="179">
        <v>244527.8</v>
      </c>
      <c r="U5" s="179">
        <v>188205.65</v>
      </c>
      <c r="V5" s="179">
        <v>284316.21299999999</v>
      </c>
      <c r="W5" s="179">
        <v>262841.83</v>
      </c>
      <c r="X5" s="8">
        <v>274029.86</v>
      </c>
      <c r="Y5" s="8">
        <v>279508.45</v>
      </c>
      <c r="Z5" s="436">
        <v>264471.83</v>
      </c>
      <c r="AA5" s="8">
        <v>255450</v>
      </c>
      <c r="AB5" s="169">
        <v>286663.76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2" s="317" customFormat="1" x14ac:dyDescent="0.25">
      <c r="A6" s="317" t="s">
        <v>795</v>
      </c>
      <c r="B6" s="317">
        <v>151431.65</v>
      </c>
      <c r="C6" s="317">
        <v>285546.5</v>
      </c>
      <c r="D6" s="317">
        <v>315221.3</v>
      </c>
      <c r="E6" s="317">
        <v>321576.40000000002</v>
      </c>
      <c r="F6" s="317">
        <v>315462.95</v>
      </c>
      <c r="G6" s="317">
        <v>289691.03000000003</v>
      </c>
      <c r="H6" s="317">
        <v>298085.75</v>
      </c>
      <c r="I6" s="318">
        <f>I5-SUM(I7:I9)</f>
        <v>251156.12</v>
      </c>
      <c r="J6" s="318">
        <v>313291.48</v>
      </c>
      <c r="K6" s="318">
        <v>353197.24</v>
      </c>
      <c r="L6" s="318">
        <v>305906.13279999996</v>
      </c>
      <c r="M6" s="318">
        <v>304979.83</v>
      </c>
      <c r="N6" s="318">
        <v>282048.65999999997</v>
      </c>
      <c r="O6" s="318">
        <v>268092.56</v>
      </c>
      <c r="P6" s="318">
        <v>231040.65</v>
      </c>
      <c r="Q6" s="319">
        <v>192382.85</v>
      </c>
      <c r="R6" s="319">
        <f>R5-SUM(R7:R9)</f>
        <v>174859.63</v>
      </c>
      <c r="S6" s="319">
        <v>195875.36000000002</v>
      </c>
      <c r="T6" s="317">
        <v>185500.84999999998</v>
      </c>
      <c r="U6" s="317">
        <v>131390</v>
      </c>
      <c r="V6" s="317">
        <v>238901.61299999998</v>
      </c>
      <c r="W6" s="317">
        <f>W5-SUM(W7:W9)</f>
        <v>217427.23</v>
      </c>
      <c r="X6" s="319">
        <v>228108.86</v>
      </c>
      <c r="Y6" s="319">
        <f>Y5-SUM(Y7:Y9)</f>
        <v>233587.45</v>
      </c>
      <c r="Z6" s="479">
        <v>218025.93000000002</v>
      </c>
      <c r="AA6" s="319">
        <v>221170.4</v>
      </c>
      <c r="AB6" s="162">
        <v>254681.01</v>
      </c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</row>
    <row r="7" spans="1:42" s="311" customFormat="1" x14ac:dyDescent="0.25">
      <c r="A7" s="311" t="s">
        <v>721</v>
      </c>
      <c r="I7" s="312">
        <v>89814</v>
      </c>
      <c r="J7" s="312">
        <v>89814</v>
      </c>
      <c r="K7" s="312">
        <v>90138</v>
      </c>
      <c r="L7" s="312">
        <v>90138</v>
      </c>
      <c r="M7" s="312">
        <v>90138</v>
      </c>
      <c r="N7" s="312">
        <v>75115</v>
      </c>
      <c r="O7" s="312">
        <v>75115</v>
      </c>
      <c r="P7" s="312">
        <v>75115</v>
      </c>
      <c r="Q7" s="313">
        <v>60092</v>
      </c>
      <c r="R7" s="313">
        <f>Q7</f>
        <v>60092</v>
      </c>
      <c r="S7" s="313">
        <v>60092</v>
      </c>
      <c r="T7" s="311">
        <v>45069</v>
      </c>
      <c r="U7" s="311">
        <v>45069</v>
      </c>
      <c r="V7" s="311">
        <v>30046</v>
      </c>
      <c r="W7" s="311">
        <f>V7</f>
        <v>30046</v>
      </c>
      <c r="X7" s="313">
        <v>30046</v>
      </c>
      <c r="Y7" s="313">
        <f>X7</f>
        <v>30046</v>
      </c>
      <c r="Z7" s="477">
        <v>30046</v>
      </c>
      <c r="AA7" s="313">
        <v>15023</v>
      </c>
      <c r="AB7" s="162">
        <v>15023</v>
      </c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</row>
    <row r="8" spans="1:42" s="311" customFormat="1" x14ac:dyDescent="0.25">
      <c r="A8" s="311" t="s">
        <v>1166</v>
      </c>
      <c r="I8" s="312">
        <v>9141.2999999999993</v>
      </c>
      <c r="J8" s="312">
        <v>9141.2999999999993</v>
      </c>
      <c r="K8" s="312">
        <v>9141.2999999999993</v>
      </c>
      <c r="L8" s="312">
        <v>9141.2999999999993</v>
      </c>
      <c r="M8" s="312">
        <v>7617.75</v>
      </c>
      <c r="N8" s="312">
        <v>7617.75</v>
      </c>
      <c r="O8" s="312">
        <v>7617.75</v>
      </c>
      <c r="P8" s="312">
        <v>6094.2</v>
      </c>
      <c r="Q8" s="313">
        <v>6094.2</v>
      </c>
      <c r="R8" s="313">
        <f>Q8</f>
        <v>6094.2</v>
      </c>
      <c r="S8" s="313">
        <v>6094.2</v>
      </c>
      <c r="T8" s="311">
        <v>6094.2</v>
      </c>
      <c r="U8" s="311">
        <v>4570.6499999999996</v>
      </c>
      <c r="V8" s="311">
        <v>4570.6499999999996</v>
      </c>
      <c r="W8" s="311">
        <f>V8</f>
        <v>4570.6499999999996</v>
      </c>
      <c r="X8" s="313">
        <v>3047.1</v>
      </c>
      <c r="Y8" s="313">
        <f>X8</f>
        <v>3047.1</v>
      </c>
      <c r="Z8" s="477">
        <v>3047.1</v>
      </c>
      <c r="AA8" s="313">
        <v>1523.55</v>
      </c>
      <c r="AB8" s="162">
        <v>1523.55</v>
      </c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</row>
    <row r="9" spans="1:42" s="311" customFormat="1" x14ac:dyDescent="0.25">
      <c r="A9" s="311" t="s">
        <v>723</v>
      </c>
      <c r="I9" s="312">
        <v>14645.5</v>
      </c>
      <c r="J9" s="312">
        <v>12031.800000000001</v>
      </c>
      <c r="K9" s="312">
        <v>12031.800000000001</v>
      </c>
      <c r="L9" s="312">
        <v>16870.400000000001</v>
      </c>
      <c r="M9" s="312">
        <v>14470.95</v>
      </c>
      <c r="N9" s="312">
        <v>14439.7</v>
      </c>
      <c r="O9" s="312">
        <v>12487.750000000002</v>
      </c>
      <c r="P9" s="312">
        <v>12309.7</v>
      </c>
      <c r="Q9" s="313">
        <v>15448.45</v>
      </c>
      <c r="R9" s="313">
        <f>Q9</f>
        <v>15448.45</v>
      </c>
      <c r="S9" s="313">
        <v>10733.95</v>
      </c>
      <c r="T9" s="311">
        <v>7863.75</v>
      </c>
      <c r="U9" s="311">
        <v>7176</v>
      </c>
      <c r="V9" s="311">
        <v>10797.95</v>
      </c>
      <c r="W9" s="311">
        <f>V9</f>
        <v>10797.95</v>
      </c>
      <c r="X9" s="313">
        <v>12827.900000000001</v>
      </c>
      <c r="Y9" s="313">
        <f>X9</f>
        <v>12827.900000000001</v>
      </c>
      <c r="Z9" s="477">
        <v>13352.800000000001</v>
      </c>
      <c r="AA9" s="313">
        <v>17733.05</v>
      </c>
      <c r="AB9" s="162">
        <v>15436.2</v>
      </c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</row>
    <row r="10" spans="1:42" s="179" customFormat="1" x14ac:dyDescent="0.25">
      <c r="I10" s="8"/>
      <c r="J10" s="8"/>
      <c r="K10" s="8"/>
      <c r="L10" s="8"/>
      <c r="M10" s="8"/>
      <c r="N10" s="162"/>
      <c r="O10" s="8"/>
      <c r="P10" s="8"/>
      <c r="Q10" s="8"/>
      <c r="R10" s="8"/>
      <c r="S10" s="8"/>
      <c r="X10" s="8"/>
      <c r="Y10" s="8"/>
      <c r="Z10" s="436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101" customFormat="1" x14ac:dyDescent="0.25">
      <c r="A11" s="101" t="s">
        <v>657</v>
      </c>
      <c r="B11" s="101">
        <v>249289.15</v>
      </c>
      <c r="C11" s="101">
        <v>235553.65</v>
      </c>
      <c r="D11" s="101">
        <v>247481.25</v>
      </c>
      <c r="E11" s="101">
        <v>246638.35</v>
      </c>
      <c r="F11" s="101">
        <v>249141.75</v>
      </c>
      <c r="G11" s="101">
        <v>265929.90000000002</v>
      </c>
      <c r="H11" s="101">
        <v>272174.25</v>
      </c>
      <c r="I11" s="310">
        <v>238180.05</v>
      </c>
      <c r="J11" s="310">
        <v>230608.6</v>
      </c>
      <c r="K11" s="310">
        <v>295555.95</v>
      </c>
      <c r="L11" s="310">
        <v>287654.2</v>
      </c>
      <c r="M11" s="310">
        <v>325202.2</v>
      </c>
      <c r="N11" s="310">
        <v>307353.84999999998</v>
      </c>
      <c r="O11" s="310">
        <v>309383.2</v>
      </c>
      <c r="P11" s="310">
        <v>264035.45</v>
      </c>
      <c r="Q11" s="310">
        <v>217342.4</v>
      </c>
      <c r="R11" s="310">
        <v>252668.35</v>
      </c>
      <c r="S11" s="310">
        <v>218482.75</v>
      </c>
      <c r="T11" s="101">
        <v>216766.95</v>
      </c>
      <c r="U11" s="101">
        <v>195068.4</v>
      </c>
      <c r="V11" s="401">
        <v>251853.8</v>
      </c>
      <c r="W11" s="401">
        <v>255134.4</v>
      </c>
      <c r="X11" s="310">
        <v>252065.15</v>
      </c>
      <c r="Y11" s="310">
        <v>272748.34999999998</v>
      </c>
      <c r="Z11" s="476">
        <v>359920.9</v>
      </c>
      <c r="AA11" s="310">
        <v>367298.05</v>
      </c>
      <c r="AB11" s="310">
        <v>362693.15</v>
      </c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</row>
    <row r="12" spans="1:42" s="179" customFormat="1" x14ac:dyDescent="0.25"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X12" s="8"/>
      <c r="Y12" s="8"/>
      <c r="Z12" s="436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s="179" customFormat="1" x14ac:dyDescent="0.25">
      <c r="B13" s="179">
        <f>B11-B6</f>
        <v>97857.5</v>
      </c>
      <c r="C13" s="179">
        <f t="shared" ref="C13:L13" si="0">C11-C6</f>
        <v>-49992.850000000006</v>
      </c>
      <c r="D13" s="179">
        <f t="shared" si="0"/>
        <v>-67740.049999999988</v>
      </c>
      <c r="E13" s="179">
        <f t="shared" si="0"/>
        <v>-74938.050000000017</v>
      </c>
      <c r="F13" s="179">
        <f t="shared" si="0"/>
        <v>-66321.200000000012</v>
      </c>
      <c r="G13" s="179">
        <f t="shared" si="0"/>
        <v>-23761.130000000005</v>
      </c>
      <c r="H13" s="179">
        <f t="shared" si="0"/>
        <v>-25911.5</v>
      </c>
      <c r="I13" s="8">
        <f t="shared" si="0"/>
        <v>-12976.070000000007</v>
      </c>
      <c r="J13" s="8">
        <f t="shared" si="0"/>
        <v>-82682.879999999976</v>
      </c>
      <c r="K13" s="8">
        <f t="shared" si="0"/>
        <v>-57641.289999999979</v>
      </c>
      <c r="L13" s="8">
        <f t="shared" si="0"/>
        <v>-18251.932799999951</v>
      </c>
      <c r="M13" s="8">
        <f t="shared" ref="M13:T13" si="1">M11-M6</f>
        <v>20222.369999999995</v>
      </c>
      <c r="N13" s="8">
        <f t="shared" si="1"/>
        <v>25305.190000000002</v>
      </c>
      <c r="O13" s="8">
        <f t="shared" si="1"/>
        <v>41290.640000000014</v>
      </c>
      <c r="P13" s="8">
        <f t="shared" si="1"/>
        <v>32994.800000000017</v>
      </c>
      <c r="Q13" s="8">
        <f t="shared" si="1"/>
        <v>24959.549999999988</v>
      </c>
      <c r="R13" s="8">
        <f t="shared" si="1"/>
        <v>77808.72</v>
      </c>
      <c r="S13" s="8">
        <f t="shared" si="1"/>
        <v>22607.389999999985</v>
      </c>
      <c r="T13" s="8">
        <f t="shared" si="1"/>
        <v>31266.100000000035</v>
      </c>
      <c r="U13" s="8">
        <f t="shared" ref="U13:AB13" si="2">U11-U6</f>
        <v>63678.399999999994</v>
      </c>
      <c r="V13" s="8">
        <f t="shared" si="2"/>
        <v>12952.187000000005</v>
      </c>
      <c r="W13" s="8">
        <f t="shared" si="2"/>
        <v>37707.169999999984</v>
      </c>
      <c r="X13" s="8">
        <f t="shared" si="2"/>
        <v>23956.290000000008</v>
      </c>
      <c r="Y13" s="8">
        <f t="shared" si="2"/>
        <v>39160.899999999965</v>
      </c>
      <c r="Z13" s="436">
        <f t="shared" si="2"/>
        <v>141894.97</v>
      </c>
      <c r="AA13" s="436">
        <f t="shared" si="2"/>
        <v>146127.65</v>
      </c>
      <c r="AB13" s="436">
        <f t="shared" si="2"/>
        <v>108012.14000000001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s="179" customFormat="1" x14ac:dyDescent="0.25"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s="179" customFormat="1" x14ac:dyDescent="0.25"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s="179" customFormat="1" x14ac:dyDescent="0.25"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19" s="179" customFormat="1" x14ac:dyDescent="0.25"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2:19" s="8" customFormat="1" x14ac:dyDescent="0.25">
      <c r="B18" s="49"/>
    </row>
    <row r="19" spans="2:19" s="8" customFormat="1" x14ac:dyDescent="0.25">
      <c r="B19" s="49"/>
    </row>
    <row r="20" spans="2:19" s="8" customFormat="1" x14ac:dyDescent="0.25">
      <c r="B20" s="49"/>
    </row>
    <row r="21" spans="2:19" s="8" customFormat="1" x14ac:dyDescent="0.25">
      <c r="B21" s="49"/>
    </row>
    <row r="22" spans="2:19" s="8" customFormat="1" x14ac:dyDescent="0.25">
      <c r="B22" s="49"/>
    </row>
  </sheetData>
  <conditionalFormatting sqref="V11">
    <cfRule type="cellIs" dxfId="2" priority="4" operator="equal">
      <formula>"PV"</formula>
    </cfRule>
  </conditionalFormatting>
  <conditionalFormatting sqref="W11">
    <cfRule type="cellIs" dxfId="1" priority="2" operator="equal">
      <formula>"PV"</formula>
    </cfRule>
  </conditionalFormatting>
  <dataValidations count="1">
    <dataValidation type="list" allowBlank="1" showInputMessage="1" showErrorMessage="1" sqref="A6:A10 N5 N7:N10 R4 R6:R9 T4 W5:W9 AB4:AB9 Y5:Y9" xr:uid="{ED568FC6-C1B9-48CB-B067-5B64BFC3E760}">
      <formula1>_xlnm.Print_Titles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2C61-F80A-471D-8722-04AB0B1387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930FB-76F1-4DD2-8A26-7D4BE59D1E5F}">
  <dimension ref="A3:P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"/>
    </sheetView>
  </sheetViews>
  <sheetFormatPr baseColWidth="10" defaultRowHeight="15" x14ac:dyDescent="0.25"/>
  <cols>
    <col min="2" max="16" width="11.42578125" style="179"/>
  </cols>
  <sheetData>
    <row r="3" spans="1:16" x14ac:dyDescent="0.25">
      <c r="B3" s="392">
        <v>45536</v>
      </c>
      <c r="C3" s="392">
        <v>45566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t="s">
        <v>1514</v>
      </c>
      <c r="B4" s="179">
        <v>5549.35</v>
      </c>
      <c r="C4" s="179">
        <v>5549.35</v>
      </c>
    </row>
    <row r="5" spans="1:16" x14ac:dyDescent="0.25">
      <c r="A5" t="s">
        <v>1515</v>
      </c>
      <c r="B5" s="179">
        <v>3162.85</v>
      </c>
      <c r="C5" s="179">
        <v>3162.85</v>
      </c>
    </row>
    <row r="6" spans="1:16" x14ac:dyDescent="0.25">
      <c r="A6" t="s">
        <v>1517</v>
      </c>
      <c r="B6" s="179">
        <v>10312.9</v>
      </c>
      <c r="C6" s="179">
        <v>10314.200000000001</v>
      </c>
    </row>
    <row r="7" spans="1:16" x14ac:dyDescent="0.25">
      <c r="A7" t="s">
        <v>1516</v>
      </c>
      <c r="B7" s="179">
        <v>8897.7000000000007</v>
      </c>
      <c r="C7" s="179">
        <v>7318.4</v>
      </c>
    </row>
    <row r="9" spans="1:16" x14ac:dyDescent="0.25">
      <c r="B9" s="179">
        <f>SUM(B4:B7)</f>
        <v>27922.799999999999</v>
      </c>
      <c r="C9" s="179">
        <f>SUM(C4:C7)</f>
        <v>26344.800000000003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Factures à encaisser 2024</vt:lpstr>
      <vt:lpstr>Factures à payer 2024</vt:lpstr>
      <vt:lpstr>Deb-Kred</vt:lpstr>
      <vt:lpstr>xxx</vt:lpstr>
      <vt:lpstr>Salaires</vt:lpstr>
      <vt:lpstr>'Factures à encaisser 2024'!Impression_des_titres</vt:lpstr>
      <vt:lpstr>'Factures à payer 2024'!Impression_des_titres</vt:lpstr>
      <vt:lpstr>'Factures à encaisser 2024'!Tabelle</vt:lpstr>
      <vt:lpstr>'Factures à encaisser 2024'!Tabelle2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2024-10-29T09:19:10Z</cp:lastPrinted>
  <dcterms:created xsi:type="dcterms:W3CDTF">2020-01-13T09:12:32Z</dcterms:created>
  <dcterms:modified xsi:type="dcterms:W3CDTF">2024-11-21T10:16:01Z</dcterms:modified>
</cp:coreProperties>
</file>