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\Promerka frais GG\2024\"/>
    </mc:Choice>
  </mc:AlternateContent>
  <xr:revisionPtr revIDLastSave="0" documentId="13_ncr:1_{BC5277D4-7FEB-4EA5-8815-892C70466687}" xr6:coauthVersionLast="47" xr6:coauthVersionMax="47" xr10:uidLastSave="{00000000-0000-0000-0000-000000000000}"/>
  <bookViews>
    <workbookView xWindow="300" yWindow="0" windowWidth="26160" windowHeight="13605" firstSheet="3" activeTab="7" xr2:uid="{50B46BAE-6A26-4C71-98A7-B439BE72A9B0}"/>
  </bookViews>
  <sheets>
    <sheet name="2024" sheetId="1" r:id="rId1"/>
    <sheet name="JENJI 07-24" sheetId="2" r:id="rId2"/>
    <sheet name="JENJI 08-24" sheetId="3" r:id="rId3"/>
    <sheet name="JENJI 09-24 total" sheetId="5" r:id="rId4"/>
    <sheet name="JENJI 09-24 VISA" sheetId="8" r:id="rId5"/>
    <sheet name="JENJI 09-24 1" sheetId="7" r:id="rId6"/>
    <sheet name="JENJI 09-24 2" sheetId="9" r:id="rId7"/>
    <sheet name="JENJI 10-24" sheetId="10" r:id="rId8"/>
    <sheet name="JENJI 10-24 Mastercard" sheetId="12" r:id="rId9"/>
    <sheet name="JENJI 10-24 REST" sheetId="13" r:id="rId10"/>
    <sheet name="Feuil1" sheetId="6" r:id="rId11"/>
  </sheets>
  <definedNames>
    <definedName name="_xlnm._FilterDatabase" localSheetId="0" hidden="1">'2024'!$A$4:$F$4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5" i="10"/>
  <c r="M47" i="13"/>
  <c r="L47" i="13"/>
  <c r="K47" i="13"/>
  <c r="M44" i="13"/>
  <c r="L44" i="13"/>
  <c r="K44" i="13"/>
  <c r="N44" i="13" s="1"/>
  <c r="M43" i="13"/>
  <c r="L43" i="13"/>
  <c r="K43" i="13"/>
  <c r="N43" i="13" s="1"/>
  <c r="M42" i="13"/>
  <c r="L42" i="13"/>
  <c r="K42" i="13"/>
  <c r="N42" i="13" s="1"/>
  <c r="M41" i="13"/>
  <c r="L41" i="13"/>
  <c r="K41" i="13"/>
  <c r="N41" i="13" s="1"/>
  <c r="M39" i="13"/>
  <c r="L39" i="13"/>
  <c r="K39" i="13"/>
  <c r="N39" i="13" s="1"/>
  <c r="M37" i="13"/>
  <c r="L37" i="13"/>
  <c r="K37" i="13"/>
  <c r="N37" i="13" s="1"/>
  <c r="M34" i="13"/>
  <c r="L34" i="13"/>
  <c r="K34" i="13"/>
  <c r="N34" i="13" s="1"/>
  <c r="H30" i="13"/>
  <c r="E30" i="13"/>
  <c r="L33" i="13"/>
  <c r="K33" i="13"/>
  <c r="L29" i="13"/>
  <c r="K29" i="13"/>
  <c r="G29" i="13"/>
  <c r="I29" i="13" s="1"/>
  <c r="L28" i="13"/>
  <c r="K28" i="13"/>
  <c r="G28" i="13"/>
  <c r="M28" i="13" s="1"/>
  <c r="L36" i="13"/>
  <c r="K36" i="13"/>
  <c r="L27" i="13"/>
  <c r="K27" i="13"/>
  <c r="G27" i="13"/>
  <c r="M27" i="13" s="1"/>
  <c r="L26" i="13"/>
  <c r="K26" i="13"/>
  <c r="G26" i="13"/>
  <c r="I26" i="13" s="1"/>
  <c r="L25" i="13"/>
  <c r="K25" i="13"/>
  <c r="G25" i="13"/>
  <c r="I25" i="13" s="1"/>
  <c r="L24" i="13"/>
  <c r="K24" i="13"/>
  <c r="I24" i="13"/>
  <c r="G24" i="13"/>
  <c r="M24" i="13" s="1"/>
  <c r="L23" i="13"/>
  <c r="K23" i="13"/>
  <c r="G23" i="13"/>
  <c r="M23" i="13" s="1"/>
  <c r="L22" i="13"/>
  <c r="K22" i="13"/>
  <c r="G22" i="13"/>
  <c r="M22" i="13" s="1"/>
  <c r="L21" i="13"/>
  <c r="K21" i="13"/>
  <c r="G21" i="13"/>
  <c r="M21" i="13" s="1"/>
  <c r="L20" i="13"/>
  <c r="K20" i="13"/>
  <c r="G20" i="13"/>
  <c r="M20" i="13" s="1"/>
  <c r="L40" i="13"/>
  <c r="L19" i="13"/>
  <c r="K19" i="13"/>
  <c r="G19" i="13"/>
  <c r="I19" i="13" s="1"/>
  <c r="L18" i="13"/>
  <c r="K18" i="13"/>
  <c r="I18" i="13"/>
  <c r="G18" i="13"/>
  <c r="M18" i="13" s="1"/>
  <c r="L17" i="13"/>
  <c r="K17" i="13"/>
  <c r="I17" i="13"/>
  <c r="G17" i="13"/>
  <c r="M17" i="13" s="1"/>
  <c r="L16" i="13"/>
  <c r="K16" i="13"/>
  <c r="G16" i="13"/>
  <c r="I16" i="13" s="1"/>
  <c r="L15" i="13"/>
  <c r="K15" i="13"/>
  <c r="G15" i="13"/>
  <c r="I15" i="13" s="1"/>
  <c r="L14" i="13"/>
  <c r="K14" i="13"/>
  <c r="G14" i="13"/>
  <c r="I14" i="13" s="1"/>
  <c r="L13" i="13"/>
  <c r="K13" i="13"/>
  <c r="G13" i="13"/>
  <c r="M13" i="13" s="1"/>
  <c r="L12" i="13"/>
  <c r="K12" i="13"/>
  <c r="G12" i="13"/>
  <c r="M12" i="13" s="1"/>
  <c r="L38" i="13"/>
  <c r="L11" i="13"/>
  <c r="L35" i="13" s="1"/>
  <c r="K11" i="13"/>
  <c r="K35" i="13" s="1"/>
  <c r="G11" i="13"/>
  <c r="M11" i="13" s="1"/>
  <c r="M35" i="13" s="1"/>
  <c r="L10" i="13"/>
  <c r="K10" i="13"/>
  <c r="G10" i="13"/>
  <c r="M10" i="13" s="1"/>
  <c r="L9" i="13"/>
  <c r="K9" i="13"/>
  <c r="G9" i="13"/>
  <c r="I9" i="13" s="1"/>
  <c r="L8" i="13"/>
  <c r="K8" i="13"/>
  <c r="G8" i="13"/>
  <c r="I8" i="13" s="1"/>
  <c r="M43" i="12"/>
  <c r="L43" i="12"/>
  <c r="K43" i="12"/>
  <c r="M40" i="12"/>
  <c r="L40" i="12"/>
  <c r="K40" i="12"/>
  <c r="N40" i="12" s="1"/>
  <c r="M38" i="12"/>
  <c r="L38" i="12"/>
  <c r="K38" i="12"/>
  <c r="N38" i="12" s="1"/>
  <c r="M37" i="12"/>
  <c r="L37" i="12"/>
  <c r="K37" i="12"/>
  <c r="N37" i="12" s="1"/>
  <c r="M35" i="12"/>
  <c r="L35" i="12"/>
  <c r="K35" i="12"/>
  <c r="N35" i="12" s="1"/>
  <c r="M33" i="12"/>
  <c r="L33" i="12"/>
  <c r="K33" i="12"/>
  <c r="N33" i="12" s="1"/>
  <c r="M30" i="12"/>
  <c r="L30" i="12"/>
  <c r="K30" i="12"/>
  <c r="N30" i="12" s="1"/>
  <c r="H26" i="12"/>
  <c r="E26" i="12"/>
  <c r="L24" i="12"/>
  <c r="L29" i="12" s="1"/>
  <c r="K24" i="12"/>
  <c r="K29" i="12" s="1"/>
  <c r="G24" i="12"/>
  <c r="I24" i="12" s="1"/>
  <c r="L23" i="12"/>
  <c r="L32" i="12" s="1"/>
  <c r="K23" i="12"/>
  <c r="K32" i="12" s="1"/>
  <c r="G23" i="12"/>
  <c r="I23" i="12" s="1"/>
  <c r="L25" i="12"/>
  <c r="K25" i="12"/>
  <c r="P25" i="12" s="1"/>
  <c r="G25" i="12"/>
  <c r="M25" i="12" s="1"/>
  <c r="L19" i="12"/>
  <c r="K19" i="12"/>
  <c r="P19" i="12" s="1"/>
  <c r="G19" i="12"/>
  <c r="I19" i="12" s="1"/>
  <c r="L14" i="12"/>
  <c r="K14" i="12"/>
  <c r="P14" i="12" s="1"/>
  <c r="G14" i="12"/>
  <c r="M14" i="12" s="1"/>
  <c r="L10" i="12"/>
  <c r="L39" i="12" s="1"/>
  <c r="K10" i="12"/>
  <c r="P10" i="12" s="1"/>
  <c r="G10" i="12"/>
  <c r="I10" i="12" s="1"/>
  <c r="L12" i="12"/>
  <c r="K12" i="12"/>
  <c r="P12" i="12" s="1"/>
  <c r="G12" i="12"/>
  <c r="M12" i="12" s="1"/>
  <c r="L13" i="12"/>
  <c r="K13" i="12"/>
  <c r="P13" i="12" s="1"/>
  <c r="G13" i="12"/>
  <c r="I13" i="12" s="1"/>
  <c r="L11" i="12"/>
  <c r="K11" i="12"/>
  <c r="P11" i="12" s="1"/>
  <c r="G11" i="12"/>
  <c r="I11" i="12" s="1"/>
  <c r="L17" i="12"/>
  <c r="K17" i="12"/>
  <c r="G17" i="12"/>
  <c r="I17" i="12" s="1"/>
  <c r="L15" i="12"/>
  <c r="K15" i="12"/>
  <c r="P15" i="12" s="1"/>
  <c r="G15" i="12"/>
  <c r="I15" i="12" s="1"/>
  <c r="L9" i="12"/>
  <c r="K9" i="12"/>
  <c r="G9" i="12"/>
  <c r="I9" i="12" s="1"/>
  <c r="L8" i="12"/>
  <c r="K8" i="12"/>
  <c r="O8" i="12" s="1"/>
  <c r="G8" i="12"/>
  <c r="M8" i="12" s="1"/>
  <c r="L21" i="12"/>
  <c r="K21" i="12"/>
  <c r="G21" i="12"/>
  <c r="I21" i="12" s="1"/>
  <c r="L16" i="12"/>
  <c r="K16" i="12"/>
  <c r="O16" i="12" s="1"/>
  <c r="G16" i="12"/>
  <c r="M16" i="12" s="1"/>
  <c r="L7" i="12"/>
  <c r="K7" i="12"/>
  <c r="O7" i="12" s="1"/>
  <c r="G7" i="12"/>
  <c r="M7" i="12" s="1"/>
  <c r="L20" i="12"/>
  <c r="K20" i="12"/>
  <c r="O20" i="12" s="1"/>
  <c r="G20" i="12"/>
  <c r="M20" i="12" s="1"/>
  <c r="L18" i="12"/>
  <c r="K18" i="12"/>
  <c r="P18" i="12" s="1"/>
  <c r="G18" i="12"/>
  <c r="M18" i="12" s="1"/>
  <c r="L22" i="12"/>
  <c r="K22" i="12"/>
  <c r="O22" i="12" s="1"/>
  <c r="G22" i="12"/>
  <c r="M22" i="12" s="1"/>
  <c r="K42" i="12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56" i="10" s="1"/>
  <c r="L47" i="10"/>
  <c r="L48" i="10"/>
  <c r="L49" i="10"/>
  <c r="K9" i="10"/>
  <c r="K10" i="10"/>
  <c r="K11" i="10"/>
  <c r="K12" i="10"/>
  <c r="K13" i="10"/>
  <c r="O13" i="10" s="1"/>
  <c r="K14" i="10"/>
  <c r="K15" i="10"/>
  <c r="P15" i="10" s="1"/>
  <c r="K16" i="10"/>
  <c r="K17" i="10"/>
  <c r="O17" i="10" s="1"/>
  <c r="K18" i="10"/>
  <c r="O18" i="10" s="1"/>
  <c r="P18" i="10" s="1"/>
  <c r="K19" i="10"/>
  <c r="K20" i="10"/>
  <c r="O20" i="10" s="1"/>
  <c r="K21" i="10"/>
  <c r="O21" i="10" s="1"/>
  <c r="K22" i="10"/>
  <c r="K23" i="10"/>
  <c r="K24" i="10"/>
  <c r="O24" i="10" s="1"/>
  <c r="K25" i="10"/>
  <c r="O25" i="10" s="1"/>
  <c r="K26" i="10"/>
  <c r="P26" i="10" s="1"/>
  <c r="K27" i="10"/>
  <c r="K28" i="10"/>
  <c r="K29" i="10"/>
  <c r="K30" i="10"/>
  <c r="P30" i="10" s="1"/>
  <c r="K31" i="10"/>
  <c r="K32" i="10"/>
  <c r="P32" i="10" s="1"/>
  <c r="K33" i="10"/>
  <c r="K34" i="10"/>
  <c r="K35" i="10"/>
  <c r="P35" i="10" s="1"/>
  <c r="K36" i="10"/>
  <c r="P36" i="10" s="1"/>
  <c r="K37" i="10"/>
  <c r="P37" i="10" s="1"/>
  <c r="K38" i="10"/>
  <c r="P38" i="10" s="1"/>
  <c r="K39" i="10"/>
  <c r="K40" i="10"/>
  <c r="P40" i="10" s="1"/>
  <c r="K41" i="10"/>
  <c r="K42" i="10"/>
  <c r="K43" i="10"/>
  <c r="K44" i="10"/>
  <c r="K45" i="10"/>
  <c r="P45" i="10" s="1"/>
  <c r="K46" i="10"/>
  <c r="P46" i="10" s="1"/>
  <c r="K47" i="10"/>
  <c r="K48" i="10"/>
  <c r="K49" i="10"/>
  <c r="K53" i="10" s="1"/>
  <c r="M54" i="10"/>
  <c r="M57" i="10"/>
  <c r="M59" i="10"/>
  <c r="M61" i="10"/>
  <c r="M62" i="10"/>
  <c r="M63" i="10"/>
  <c r="M64" i="10"/>
  <c r="L54" i="10"/>
  <c r="L57" i="10"/>
  <c r="L59" i="10"/>
  <c r="L61" i="10"/>
  <c r="L62" i="10"/>
  <c r="L63" i="10"/>
  <c r="L64" i="10"/>
  <c r="L53" i="10"/>
  <c r="K54" i="10"/>
  <c r="K56" i="10"/>
  <c r="K57" i="10"/>
  <c r="N57" i="10" s="1"/>
  <c r="K59" i="10"/>
  <c r="K61" i="10"/>
  <c r="N61" i="10" s="1"/>
  <c r="K62" i="10"/>
  <c r="N62" i="10" s="1"/>
  <c r="K63" i="10"/>
  <c r="K64" i="10"/>
  <c r="N64" i="10" s="1"/>
  <c r="G9" i="10"/>
  <c r="I9" i="10" s="1"/>
  <c r="G10" i="10"/>
  <c r="I10" i="10" s="1"/>
  <c r="G11" i="10"/>
  <c r="I11" i="10" s="1"/>
  <c r="G12" i="10"/>
  <c r="I12" i="10" s="1"/>
  <c r="G13" i="10"/>
  <c r="I13" i="10" s="1"/>
  <c r="G14" i="10"/>
  <c r="I14" i="10" s="1"/>
  <c r="G15" i="10"/>
  <c r="I15" i="10" s="1"/>
  <c r="G16" i="10"/>
  <c r="I16" i="10" s="1"/>
  <c r="G17" i="10"/>
  <c r="I17" i="10" s="1"/>
  <c r="G18" i="10"/>
  <c r="I18" i="10" s="1"/>
  <c r="G19" i="10"/>
  <c r="I19" i="10" s="1"/>
  <c r="G20" i="10"/>
  <c r="I20" i="10" s="1"/>
  <c r="G21" i="10"/>
  <c r="I21" i="10" s="1"/>
  <c r="G22" i="10"/>
  <c r="I22" i="10" s="1"/>
  <c r="G23" i="10"/>
  <c r="I23" i="10" s="1"/>
  <c r="G24" i="10"/>
  <c r="I24" i="10" s="1"/>
  <c r="G25" i="10"/>
  <c r="I25" i="10" s="1"/>
  <c r="G26" i="10"/>
  <c r="I26" i="10" s="1"/>
  <c r="G27" i="10"/>
  <c r="I27" i="10" s="1"/>
  <c r="G28" i="10"/>
  <c r="I28" i="10" s="1"/>
  <c r="G29" i="10"/>
  <c r="I29" i="10" s="1"/>
  <c r="G30" i="10"/>
  <c r="I30" i="10" s="1"/>
  <c r="G31" i="10"/>
  <c r="I31" i="10" s="1"/>
  <c r="G32" i="10"/>
  <c r="I32" i="10" s="1"/>
  <c r="G33" i="10"/>
  <c r="I33" i="10" s="1"/>
  <c r="G34" i="10"/>
  <c r="I34" i="10" s="1"/>
  <c r="G35" i="10"/>
  <c r="I35" i="10" s="1"/>
  <c r="G36" i="10"/>
  <c r="I36" i="10" s="1"/>
  <c r="G37" i="10"/>
  <c r="I37" i="10" s="1"/>
  <c r="G38" i="10"/>
  <c r="I38" i="10" s="1"/>
  <c r="G39" i="10"/>
  <c r="I39" i="10" s="1"/>
  <c r="G40" i="10"/>
  <c r="I40" i="10" s="1"/>
  <c r="G41" i="10"/>
  <c r="I41" i="10" s="1"/>
  <c r="G42" i="10"/>
  <c r="I42" i="10" s="1"/>
  <c r="G43" i="10"/>
  <c r="I43" i="10" s="1"/>
  <c r="G44" i="10"/>
  <c r="I44" i="10" s="1"/>
  <c r="G45" i="10"/>
  <c r="I45" i="10" s="1"/>
  <c r="G46" i="10"/>
  <c r="I46" i="10" s="1"/>
  <c r="G47" i="10"/>
  <c r="I47" i="10" s="1"/>
  <c r="G48" i="10"/>
  <c r="I48" i="10" s="1"/>
  <c r="G49" i="10"/>
  <c r="I49" i="10" s="1"/>
  <c r="H50" i="10"/>
  <c r="E50" i="10"/>
  <c r="J50" i="5"/>
  <c r="M67" i="10"/>
  <c r="L67" i="10"/>
  <c r="K67" i="10"/>
  <c r="N59" i="10"/>
  <c r="J28" i="8"/>
  <c r="O22" i="8"/>
  <c r="L34" i="5"/>
  <c r="N33" i="5"/>
  <c r="N31" i="5"/>
  <c r="N29" i="5"/>
  <c r="N23" i="5"/>
  <c r="N20" i="5"/>
  <c r="N19" i="5"/>
  <c r="N15" i="5"/>
  <c r="L30" i="9"/>
  <c r="L28" i="9"/>
  <c r="L27" i="9"/>
  <c r="L26" i="9"/>
  <c r="K26" i="9"/>
  <c r="J26" i="9"/>
  <c r="M26" i="9" s="1"/>
  <c r="L25" i="9"/>
  <c r="K25" i="9"/>
  <c r="J25" i="9"/>
  <c r="M25" i="9" s="1"/>
  <c r="L24" i="9"/>
  <c r="K24" i="9"/>
  <c r="J24" i="9"/>
  <c r="M24" i="9" s="1"/>
  <c r="L23" i="9"/>
  <c r="K23" i="9"/>
  <c r="J23" i="9"/>
  <c r="M23" i="9" s="1"/>
  <c r="L22" i="9"/>
  <c r="L21" i="9"/>
  <c r="K21" i="9"/>
  <c r="J21" i="9"/>
  <c r="M21" i="9" s="1"/>
  <c r="L20" i="9"/>
  <c r="L19" i="9"/>
  <c r="L18" i="9"/>
  <c r="L17" i="9"/>
  <c r="K17" i="9"/>
  <c r="J17" i="9"/>
  <c r="L14" i="9"/>
  <c r="F14" i="9"/>
  <c r="E14" i="9"/>
  <c r="K20" i="9"/>
  <c r="H13" i="9"/>
  <c r="G13" i="9"/>
  <c r="J13" i="9" s="1"/>
  <c r="K13" i="9" s="1"/>
  <c r="H12" i="9"/>
  <c r="G12" i="9"/>
  <c r="J12" i="9" s="1"/>
  <c r="K12" i="9" s="1"/>
  <c r="H11" i="9"/>
  <c r="G11" i="9"/>
  <c r="J11" i="9" s="1"/>
  <c r="K11" i="9" s="1"/>
  <c r="H10" i="9"/>
  <c r="G10" i="9"/>
  <c r="J10" i="9" s="1"/>
  <c r="K10" i="9" s="1"/>
  <c r="H9" i="9"/>
  <c r="G9" i="9"/>
  <c r="J9" i="9" s="1"/>
  <c r="K9" i="9" s="1"/>
  <c r="H8" i="9"/>
  <c r="G8" i="9"/>
  <c r="J8" i="9" s="1"/>
  <c r="H7" i="9"/>
  <c r="G7" i="9"/>
  <c r="J7" i="9" s="1"/>
  <c r="H6" i="9"/>
  <c r="G6" i="9"/>
  <c r="L38" i="8"/>
  <c r="L36" i="8"/>
  <c r="L35" i="8"/>
  <c r="L34" i="8"/>
  <c r="K34" i="8"/>
  <c r="J34" i="8"/>
  <c r="M34" i="8" s="1"/>
  <c r="L33" i="8"/>
  <c r="K33" i="8"/>
  <c r="J33" i="8"/>
  <c r="M33" i="8" s="1"/>
  <c r="L32" i="8"/>
  <c r="K32" i="8"/>
  <c r="J32" i="8"/>
  <c r="M32" i="8" s="1"/>
  <c r="L31" i="8"/>
  <c r="K31" i="8"/>
  <c r="J31" i="8"/>
  <c r="M31" i="8" s="1"/>
  <c r="L30" i="8"/>
  <c r="L29" i="8"/>
  <c r="K29" i="8"/>
  <c r="J29" i="8"/>
  <c r="M29" i="8" s="1"/>
  <c r="L28" i="8"/>
  <c r="L27" i="8"/>
  <c r="L26" i="8"/>
  <c r="L25" i="8"/>
  <c r="K25" i="8"/>
  <c r="J25" i="8"/>
  <c r="L22" i="8"/>
  <c r="F22" i="8"/>
  <c r="E22" i="8"/>
  <c r="H20" i="8"/>
  <c r="G20" i="8"/>
  <c r="J20" i="8" s="1"/>
  <c r="K20" i="8" s="1"/>
  <c r="H21" i="8"/>
  <c r="G21" i="8"/>
  <c r="J21" i="8" s="1"/>
  <c r="K21" i="8" s="1"/>
  <c r="H19" i="8"/>
  <c r="G19" i="8"/>
  <c r="J19" i="8" s="1"/>
  <c r="K19" i="8" s="1"/>
  <c r="K36" i="8" s="1"/>
  <c r="H18" i="8"/>
  <c r="G18" i="8"/>
  <c r="J18" i="8" s="1"/>
  <c r="K18" i="8" s="1"/>
  <c r="H17" i="8"/>
  <c r="G17" i="8"/>
  <c r="J17" i="8" s="1"/>
  <c r="K17" i="8" s="1"/>
  <c r="H16" i="8"/>
  <c r="G16" i="8"/>
  <c r="J16" i="8" s="1"/>
  <c r="K16" i="8" s="1"/>
  <c r="H15" i="8"/>
  <c r="G15" i="8"/>
  <c r="J15" i="8" s="1"/>
  <c r="K15" i="8" s="1"/>
  <c r="H14" i="8"/>
  <c r="G14" i="8"/>
  <c r="J14" i="8" s="1"/>
  <c r="K14" i="8" s="1"/>
  <c r="H13" i="8"/>
  <c r="G13" i="8"/>
  <c r="J13" i="8" s="1"/>
  <c r="K13" i="8" s="1"/>
  <c r="H12" i="8"/>
  <c r="G12" i="8"/>
  <c r="J12" i="8" s="1"/>
  <c r="K12" i="8" s="1"/>
  <c r="K28" i="8" s="1"/>
  <c r="H11" i="8"/>
  <c r="G11" i="8"/>
  <c r="J11" i="8" s="1"/>
  <c r="K11" i="8" s="1"/>
  <c r="H10" i="8"/>
  <c r="G10" i="8"/>
  <c r="J10" i="8" s="1"/>
  <c r="K10" i="8" s="1"/>
  <c r="H9" i="8"/>
  <c r="G9" i="8"/>
  <c r="J9" i="8" s="1"/>
  <c r="K9" i="8" s="1"/>
  <c r="H8" i="8"/>
  <c r="G8" i="8"/>
  <c r="J8" i="8" s="1"/>
  <c r="K8" i="8" s="1"/>
  <c r="H7" i="8"/>
  <c r="G7" i="8"/>
  <c r="J7" i="8" s="1"/>
  <c r="K7" i="8" s="1"/>
  <c r="H6" i="8"/>
  <c r="G6" i="8"/>
  <c r="J6" i="8" s="1"/>
  <c r="K6" i="8" s="1"/>
  <c r="L24" i="7"/>
  <c r="K24" i="7"/>
  <c r="J24" i="7"/>
  <c r="L22" i="7"/>
  <c r="L21" i="7"/>
  <c r="L20" i="7"/>
  <c r="K20" i="7"/>
  <c r="J20" i="7"/>
  <c r="M20" i="7" s="1"/>
  <c r="L19" i="7"/>
  <c r="K19" i="7"/>
  <c r="J19" i="7"/>
  <c r="M19" i="7" s="1"/>
  <c r="L18" i="7"/>
  <c r="K18" i="7"/>
  <c r="J18" i="7"/>
  <c r="M18" i="7" s="1"/>
  <c r="L17" i="7"/>
  <c r="K17" i="7"/>
  <c r="J17" i="7"/>
  <c r="M17" i="7" s="1"/>
  <c r="L16" i="7"/>
  <c r="L15" i="7"/>
  <c r="K15" i="7"/>
  <c r="J15" i="7"/>
  <c r="M15" i="7" s="1"/>
  <c r="L14" i="7"/>
  <c r="L13" i="7"/>
  <c r="L12" i="7"/>
  <c r="L11" i="7"/>
  <c r="K11" i="7"/>
  <c r="J11" i="7"/>
  <c r="L8" i="7"/>
  <c r="F8" i="7"/>
  <c r="E8" i="7"/>
  <c r="H6" i="7"/>
  <c r="G6" i="7"/>
  <c r="J6" i="7" s="1"/>
  <c r="K6" i="7" s="1"/>
  <c r="H5" i="7"/>
  <c r="G5" i="7"/>
  <c r="J5" i="7" s="1"/>
  <c r="K5" i="7" s="1"/>
  <c r="H7" i="7"/>
  <c r="G7" i="7"/>
  <c r="J7" i="7" s="1"/>
  <c r="K7" i="7" s="1"/>
  <c r="L50" i="5"/>
  <c r="L38" i="5"/>
  <c r="L39" i="5"/>
  <c r="L40" i="5"/>
  <c r="L41" i="5"/>
  <c r="L42" i="5"/>
  <c r="L43" i="5"/>
  <c r="L44" i="5"/>
  <c r="L45" i="5"/>
  <c r="L46" i="5"/>
  <c r="L47" i="5"/>
  <c r="L48" i="5"/>
  <c r="L37" i="5"/>
  <c r="K41" i="5"/>
  <c r="K43" i="5"/>
  <c r="K44" i="5"/>
  <c r="K45" i="5"/>
  <c r="K46" i="5"/>
  <c r="K37" i="5"/>
  <c r="J41" i="5"/>
  <c r="M41" i="5" s="1"/>
  <c r="J43" i="5"/>
  <c r="M43" i="5" s="1"/>
  <c r="J44" i="5"/>
  <c r="M44" i="5" s="1"/>
  <c r="J45" i="5"/>
  <c r="M45" i="5" s="1"/>
  <c r="J46" i="5"/>
  <c r="M46" i="5" s="1"/>
  <c r="J37" i="5"/>
  <c r="M37" i="5" s="1"/>
  <c r="H7" i="5"/>
  <c r="H8" i="5"/>
  <c r="H9" i="5"/>
  <c r="H10" i="5"/>
  <c r="H11" i="5"/>
  <c r="H12" i="5"/>
  <c r="H13" i="5"/>
  <c r="H14" i="5"/>
  <c r="H15" i="5"/>
  <c r="H17" i="5"/>
  <c r="H16" i="5"/>
  <c r="H18" i="5"/>
  <c r="H19" i="5"/>
  <c r="H20" i="5"/>
  <c r="H21" i="5"/>
  <c r="H22" i="5"/>
  <c r="H24" i="5"/>
  <c r="H23" i="5"/>
  <c r="H25" i="5"/>
  <c r="H26" i="5"/>
  <c r="H27" i="5"/>
  <c r="H28" i="5"/>
  <c r="H29" i="5"/>
  <c r="H30" i="5"/>
  <c r="H31" i="5"/>
  <c r="H33" i="5"/>
  <c r="H32" i="5"/>
  <c r="G7" i="5"/>
  <c r="J7" i="5" s="1"/>
  <c r="G9" i="5"/>
  <c r="J9" i="5" s="1"/>
  <c r="K9" i="5" s="1"/>
  <c r="G10" i="5"/>
  <c r="J10" i="5" s="1"/>
  <c r="K10" i="5" s="1"/>
  <c r="G11" i="5"/>
  <c r="J11" i="5" s="1"/>
  <c r="G12" i="5"/>
  <c r="J12" i="5" s="1"/>
  <c r="K12" i="5" s="1"/>
  <c r="G13" i="5"/>
  <c r="J13" i="5" s="1"/>
  <c r="K13" i="5" s="1"/>
  <c r="G14" i="5"/>
  <c r="J14" i="5" s="1"/>
  <c r="K14" i="5" s="1"/>
  <c r="G15" i="5"/>
  <c r="J15" i="5" s="1"/>
  <c r="K15" i="5" s="1"/>
  <c r="G17" i="5"/>
  <c r="J17" i="5" s="1"/>
  <c r="K17" i="5" s="1"/>
  <c r="G16" i="5"/>
  <c r="J16" i="5" s="1"/>
  <c r="K16" i="5" s="1"/>
  <c r="G18" i="5"/>
  <c r="J18" i="5" s="1"/>
  <c r="K18" i="5" s="1"/>
  <c r="G19" i="5"/>
  <c r="J19" i="5" s="1"/>
  <c r="K19" i="5" s="1"/>
  <c r="G20" i="5"/>
  <c r="J20" i="5" s="1"/>
  <c r="K20" i="5" s="1"/>
  <c r="G21" i="5"/>
  <c r="J21" i="5" s="1"/>
  <c r="K21" i="5" s="1"/>
  <c r="G22" i="5"/>
  <c r="J22" i="5" s="1"/>
  <c r="J40" i="5" s="1"/>
  <c r="G24" i="5"/>
  <c r="J24" i="5" s="1"/>
  <c r="G23" i="5"/>
  <c r="J23" i="5" s="1"/>
  <c r="K23" i="5" s="1"/>
  <c r="G25" i="5"/>
  <c r="J25" i="5" s="1"/>
  <c r="K25" i="5" s="1"/>
  <c r="G26" i="5"/>
  <c r="J26" i="5" s="1"/>
  <c r="G27" i="5"/>
  <c r="J27" i="5" s="1"/>
  <c r="K27" i="5" s="1"/>
  <c r="G28" i="5"/>
  <c r="J28" i="5" s="1"/>
  <c r="K28" i="5" s="1"/>
  <c r="G29" i="5"/>
  <c r="J29" i="5" s="1"/>
  <c r="K29" i="5" s="1"/>
  <c r="G30" i="5"/>
  <c r="J30" i="5" s="1"/>
  <c r="K30" i="5" s="1"/>
  <c r="G31" i="5"/>
  <c r="J31" i="5" s="1"/>
  <c r="G33" i="5"/>
  <c r="J33" i="5" s="1"/>
  <c r="K33" i="5" s="1"/>
  <c r="G32" i="5"/>
  <c r="J32" i="5" s="1"/>
  <c r="G8" i="5"/>
  <c r="J8" i="5" s="1"/>
  <c r="E34" i="5"/>
  <c r="F34" i="5"/>
  <c r="G18" i="3"/>
  <c r="K31" i="3"/>
  <c r="K32" i="3"/>
  <c r="K34" i="3"/>
  <c r="K36" i="3"/>
  <c r="K35" i="3"/>
  <c r="K28" i="3"/>
  <c r="L28" i="3"/>
  <c r="J24" i="3"/>
  <c r="J25" i="3" s="1"/>
  <c r="L30" i="3"/>
  <c r="L31" i="3"/>
  <c r="L32" i="3"/>
  <c r="L34" i="3"/>
  <c r="L36" i="3"/>
  <c r="L35" i="3"/>
  <c r="J29" i="3"/>
  <c r="J30" i="3"/>
  <c r="L24" i="3"/>
  <c r="L40" i="3" s="1"/>
  <c r="J31" i="3"/>
  <c r="M31" i="3" s="1"/>
  <c r="J37" i="3"/>
  <c r="J32" i="3"/>
  <c r="M32" i="3" s="1"/>
  <c r="J33" i="3"/>
  <c r="J34" i="3"/>
  <c r="M34" i="3" s="1"/>
  <c r="J36" i="3"/>
  <c r="M36" i="3" s="1"/>
  <c r="J35" i="3"/>
  <c r="M35" i="3" s="1"/>
  <c r="J38" i="3"/>
  <c r="J28" i="3"/>
  <c r="M28" i="3" s="1"/>
  <c r="D36" i="1"/>
  <c r="F22" i="3"/>
  <c r="G22" i="3" s="1"/>
  <c r="L22" i="3" s="1"/>
  <c r="F21" i="3"/>
  <c r="G21" i="3" s="1"/>
  <c r="L21" i="3" s="1"/>
  <c r="M21" i="3" s="1"/>
  <c r="K6" i="3"/>
  <c r="K10" i="3"/>
  <c r="K30" i="3" s="1"/>
  <c r="G6" i="3"/>
  <c r="H6" i="3" s="1"/>
  <c r="M6" i="3"/>
  <c r="M10" i="3"/>
  <c r="L18" i="3"/>
  <c r="M18" i="3" s="1"/>
  <c r="G16" i="3"/>
  <c r="L16" i="3" s="1"/>
  <c r="M16" i="3" s="1"/>
  <c r="G17" i="3"/>
  <c r="L17" i="3" s="1"/>
  <c r="K17" i="3" s="1"/>
  <c r="G19" i="3"/>
  <c r="L19" i="3" s="1"/>
  <c r="M19" i="3" s="1"/>
  <c r="G12" i="3"/>
  <c r="L12" i="3" s="1"/>
  <c r="M12" i="3" s="1"/>
  <c r="G13" i="3"/>
  <c r="L13" i="3" s="1"/>
  <c r="M13" i="3" s="1"/>
  <c r="G14" i="3"/>
  <c r="L14" i="3" s="1"/>
  <c r="M14" i="3" s="1"/>
  <c r="G15" i="3"/>
  <c r="L15" i="3" s="1"/>
  <c r="M15" i="3" s="1"/>
  <c r="G8" i="3"/>
  <c r="L8" i="3" s="1"/>
  <c r="K8" i="3" s="1"/>
  <c r="G7" i="3"/>
  <c r="L7" i="3" s="1"/>
  <c r="K7" i="3" s="1"/>
  <c r="G11" i="3"/>
  <c r="L11" i="3" s="1"/>
  <c r="M11" i="3" s="1"/>
  <c r="G9" i="3"/>
  <c r="L9" i="3" s="1"/>
  <c r="K9" i="3" s="1"/>
  <c r="G10" i="3"/>
  <c r="E25" i="3"/>
  <c r="G23" i="3"/>
  <c r="L23" i="3" s="1"/>
  <c r="M23" i="3" s="1"/>
  <c r="G20" i="3"/>
  <c r="L20" i="3" s="1"/>
  <c r="K20" i="3" s="1"/>
  <c r="D32" i="1"/>
  <c r="L39" i="2"/>
  <c r="N39" i="2"/>
  <c r="N38" i="2"/>
  <c r="G6" i="2"/>
  <c r="H6" i="2" s="1"/>
  <c r="N9" i="2"/>
  <c r="N8" i="2"/>
  <c r="J39" i="2"/>
  <c r="N7" i="2"/>
  <c r="N19" i="2"/>
  <c r="N27" i="2"/>
  <c r="D37" i="1"/>
  <c r="D34" i="1"/>
  <c r="F39" i="2"/>
  <c r="E39" i="2"/>
  <c r="N14" i="2"/>
  <c r="N22" i="2"/>
  <c r="N21" i="2"/>
  <c r="N23" i="2"/>
  <c r="N24" i="2"/>
  <c r="N25" i="2"/>
  <c r="N15" i="2"/>
  <c r="N26" i="2"/>
  <c r="N28" i="2"/>
  <c r="N16" i="2"/>
  <c r="N29" i="2"/>
  <c r="N12" i="2"/>
  <c r="N17" i="2"/>
  <c r="N30" i="2"/>
  <c r="N18" i="2"/>
  <c r="N31" i="2"/>
  <c r="N11" i="2"/>
  <c r="N32" i="2"/>
  <c r="N10" i="2"/>
  <c r="N33" i="2"/>
  <c r="N13" i="2"/>
  <c r="N34" i="2"/>
  <c r="N35" i="2"/>
  <c r="N6" i="2"/>
  <c r="N36" i="2"/>
  <c r="N37" i="2"/>
  <c r="N20" i="2"/>
  <c r="G20" i="2"/>
  <c r="H20" i="2" s="1"/>
  <c r="G14" i="2"/>
  <c r="H14" i="2" s="1"/>
  <c r="G22" i="2"/>
  <c r="H22" i="2" s="1"/>
  <c r="G21" i="2"/>
  <c r="H21" i="2" s="1"/>
  <c r="G23" i="2"/>
  <c r="H23" i="2" s="1"/>
  <c r="G19" i="2"/>
  <c r="H19" i="2" s="1"/>
  <c r="G24" i="2"/>
  <c r="H24" i="2" s="1"/>
  <c r="G25" i="2"/>
  <c r="H25" i="2" s="1"/>
  <c r="G15" i="2"/>
  <c r="H15" i="2" s="1"/>
  <c r="G26" i="2"/>
  <c r="H26" i="2" s="1"/>
  <c r="G8" i="2"/>
  <c r="H8" i="2" s="1"/>
  <c r="G9" i="2"/>
  <c r="H9" i="2" s="1"/>
  <c r="G27" i="2"/>
  <c r="H27" i="2" s="1"/>
  <c r="G28" i="2"/>
  <c r="H28" i="2" s="1"/>
  <c r="G16" i="2"/>
  <c r="H16" i="2" s="1"/>
  <c r="G29" i="2"/>
  <c r="H29" i="2" s="1"/>
  <c r="G12" i="2"/>
  <c r="H12" i="2" s="1"/>
  <c r="G17" i="2"/>
  <c r="H17" i="2" s="1"/>
  <c r="G30" i="2"/>
  <c r="H30" i="2" s="1"/>
  <c r="G18" i="2"/>
  <c r="H18" i="2" s="1"/>
  <c r="G31" i="2"/>
  <c r="H31" i="2" s="1"/>
  <c r="G11" i="2"/>
  <c r="H11" i="2" s="1"/>
  <c r="G32" i="2"/>
  <c r="H32" i="2" s="1"/>
  <c r="G10" i="2"/>
  <c r="H10" i="2" s="1"/>
  <c r="G33" i="2"/>
  <c r="H33" i="2" s="1"/>
  <c r="G13" i="2"/>
  <c r="H13" i="2" s="1"/>
  <c r="G34" i="2"/>
  <c r="H34" i="2" s="1"/>
  <c r="G35" i="2"/>
  <c r="H35" i="2" s="1"/>
  <c r="G7" i="2"/>
  <c r="H7" i="2" s="1"/>
  <c r="G36" i="2"/>
  <c r="H36" i="2" s="1"/>
  <c r="G37" i="2"/>
  <c r="H37" i="2" s="1"/>
  <c r="G38" i="2"/>
  <c r="H38" i="2" s="1"/>
  <c r="D45" i="1"/>
  <c r="D44" i="1"/>
  <c r="D43" i="1"/>
  <c r="D42" i="1"/>
  <c r="D41" i="1"/>
  <c r="D40" i="1"/>
  <c r="D39" i="1"/>
  <c r="D38" i="1"/>
  <c r="D35" i="1"/>
  <c r="D33" i="1"/>
  <c r="D30" i="1"/>
  <c r="C30" i="1"/>
  <c r="L30" i="13" l="1"/>
  <c r="I11" i="13"/>
  <c r="I12" i="13"/>
  <c r="I13" i="13"/>
  <c r="I20" i="13"/>
  <c r="K40" i="13"/>
  <c r="I21" i="13"/>
  <c r="I22" i="13"/>
  <c r="I27" i="13"/>
  <c r="I28" i="13"/>
  <c r="I10" i="13"/>
  <c r="N35" i="13"/>
  <c r="K38" i="13"/>
  <c r="K46" i="13"/>
  <c r="G30" i="13"/>
  <c r="L46" i="13"/>
  <c r="L49" i="13" s="1"/>
  <c r="M15" i="13"/>
  <c r="M19" i="13"/>
  <c r="I23" i="13"/>
  <c r="M33" i="13"/>
  <c r="M8" i="13"/>
  <c r="M25" i="13"/>
  <c r="M29" i="13"/>
  <c r="M9" i="13"/>
  <c r="M14" i="13"/>
  <c r="M16" i="13"/>
  <c r="M40" i="13"/>
  <c r="M26" i="13"/>
  <c r="M36" i="13"/>
  <c r="N36" i="13" s="1"/>
  <c r="K30" i="13"/>
  <c r="K60" i="10"/>
  <c r="L58" i="10"/>
  <c r="L55" i="10"/>
  <c r="O50" i="10"/>
  <c r="L60" i="10"/>
  <c r="L66" i="10"/>
  <c r="P20" i="10"/>
  <c r="P49" i="10"/>
  <c r="K58" i="10"/>
  <c r="P24" i="10"/>
  <c r="P21" i="10"/>
  <c r="P13" i="10"/>
  <c r="P25" i="10"/>
  <c r="P17" i="10"/>
  <c r="L26" i="12"/>
  <c r="M15" i="12"/>
  <c r="K39" i="12"/>
  <c r="I16" i="12"/>
  <c r="K31" i="12"/>
  <c r="K36" i="12"/>
  <c r="L36" i="12"/>
  <c r="P22" i="12"/>
  <c r="L34" i="12"/>
  <c r="L31" i="12"/>
  <c r="I12" i="12"/>
  <c r="I14" i="12"/>
  <c r="I25" i="12"/>
  <c r="K34" i="12"/>
  <c r="K45" i="12" s="1"/>
  <c r="I7" i="12"/>
  <c r="I8" i="12"/>
  <c r="M31" i="12"/>
  <c r="I20" i="12"/>
  <c r="P7" i="12"/>
  <c r="M11" i="12"/>
  <c r="M13" i="12"/>
  <c r="M10" i="12"/>
  <c r="M39" i="12" s="1"/>
  <c r="G26" i="12"/>
  <c r="L42" i="12"/>
  <c r="I22" i="12"/>
  <c r="I18" i="12"/>
  <c r="P20" i="12"/>
  <c r="M21" i="12"/>
  <c r="M9" i="12"/>
  <c r="M34" i="12" s="1"/>
  <c r="N34" i="12" s="1"/>
  <c r="M19" i="12"/>
  <c r="M23" i="12"/>
  <c r="M32" i="12" s="1"/>
  <c r="N32" i="12" s="1"/>
  <c r="M24" i="12"/>
  <c r="M29" i="12" s="1"/>
  <c r="N29" i="12" s="1"/>
  <c r="P16" i="12"/>
  <c r="P8" i="12"/>
  <c r="M17" i="12"/>
  <c r="O21" i="12"/>
  <c r="O9" i="12"/>
  <c r="P9" i="12" s="1"/>
  <c r="P17" i="12"/>
  <c r="P23" i="12"/>
  <c r="P24" i="12"/>
  <c r="K26" i="12"/>
  <c r="K55" i="10"/>
  <c r="K66" i="10"/>
  <c r="M48" i="10"/>
  <c r="M44" i="10"/>
  <c r="M40" i="10"/>
  <c r="M36" i="10"/>
  <c r="M32" i="10"/>
  <c r="M28" i="10"/>
  <c r="M24" i="10"/>
  <c r="M20" i="10"/>
  <c r="M16" i="10"/>
  <c r="M12" i="10"/>
  <c r="M47" i="10"/>
  <c r="M43" i="10"/>
  <c r="M39" i="10"/>
  <c r="M35" i="10"/>
  <c r="M31" i="10"/>
  <c r="M27" i="10"/>
  <c r="M23" i="10"/>
  <c r="M19" i="10"/>
  <c r="M15" i="10"/>
  <c r="M11" i="10"/>
  <c r="M46" i="10"/>
  <c r="M56" i="10" s="1"/>
  <c r="N56" i="10" s="1"/>
  <c r="M42" i="10"/>
  <c r="M38" i="10"/>
  <c r="M34" i="10"/>
  <c r="M30" i="10"/>
  <c r="M26" i="10"/>
  <c r="M22" i="10"/>
  <c r="M18" i="10"/>
  <c r="M14" i="10"/>
  <c r="M10" i="10"/>
  <c r="M49" i="10"/>
  <c r="M53" i="10" s="1"/>
  <c r="N53" i="10" s="1"/>
  <c r="M45" i="10"/>
  <c r="M41" i="10"/>
  <c r="M37" i="10"/>
  <c r="M33" i="10"/>
  <c r="M29" i="10"/>
  <c r="M25" i="10"/>
  <c r="M21" i="10"/>
  <c r="M17" i="10"/>
  <c r="M13" i="10"/>
  <c r="M9" i="10"/>
  <c r="G50" i="10"/>
  <c r="N63" i="10"/>
  <c r="J34" i="5"/>
  <c r="N16" i="5"/>
  <c r="N21" i="5"/>
  <c r="N27" i="5"/>
  <c r="N32" i="5"/>
  <c r="N25" i="5"/>
  <c r="N18" i="5"/>
  <c r="N34" i="5" s="1"/>
  <c r="N22" i="5"/>
  <c r="N28" i="5"/>
  <c r="N30" i="5"/>
  <c r="J39" i="5"/>
  <c r="N16" i="8"/>
  <c r="N20" i="8"/>
  <c r="O12" i="8"/>
  <c r="N15" i="8"/>
  <c r="N13" i="8"/>
  <c r="N17" i="8"/>
  <c r="N19" i="8"/>
  <c r="N14" i="8"/>
  <c r="O18" i="8"/>
  <c r="N21" i="8"/>
  <c r="G14" i="9"/>
  <c r="L32" i="9"/>
  <c r="J28" i="9"/>
  <c r="K28" i="9"/>
  <c r="J27" i="9"/>
  <c r="K8" i="9"/>
  <c r="K27" i="9" s="1"/>
  <c r="J19" i="9"/>
  <c r="K7" i="9"/>
  <c r="K19" i="9" s="1"/>
  <c r="J6" i="9"/>
  <c r="K18" i="9"/>
  <c r="M17" i="9"/>
  <c r="J18" i="9"/>
  <c r="J20" i="9"/>
  <c r="M20" i="9" s="1"/>
  <c r="K38" i="5"/>
  <c r="N8" i="8"/>
  <c r="N9" i="8"/>
  <c r="N6" i="8"/>
  <c r="N11" i="8"/>
  <c r="N7" i="8"/>
  <c r="N10" i="8"/>
  <c r="K26" i="8"/>
  <c r="G22" i="8"/>
  <c r="L40" i="8"/>
  <c r="J35" i="8"/>
  <c r="K35" i="8"/>
  <c r="J27" i="8"/>
  <c r="K27" i="8"/>
  <c r="M25" i="8"/>
  <c r="J26" i="8"/>
  <c r="M26" i="8" s="1"/>
  <c r="M28" i="8"/>
  <c r="J36" i="8"/>
  <c r="M36" i="8" s="1"/>
  <c r="L26" i="7"/>
  <c r="G8" i="7"/>
  <c r="K32" i="5"/>
  <c r="K50" i="5" s="1"/>
  <c r="J38" i="5"/>
  <c r="J42" i="5"/>
  <c r="K7" i="5"/>
  <c r="K21" i="7"/>
  <c r="J21" i="7"/>
  <c r="K16" i="7"/>
  <c r="J16" i="7"/>
  <c r="K14" i="7"/>
  <c r="J14" i="7"/>
  <c r="K13" i="7"/>
  <c r="J13" i="7"/>
  <c r="M13" i="7" s="1"/>
  <c r="K12" i="7"/>
  <c r="J12" i="7"/>
  <c r="M11" i="7"/>
  <c r="J48" i="5"/>
  <c r="K31" i="5"/>
  <c r="K48" i="5" s="1"/>
  <c r="K47" i="5"/>
  <c r="J47" i="5"/>
  <c r="K22" i="5"/>
  <c r="K40" i="5" s="1"/>
  <c r="M40" i="5" s="1"/>
  <c r="K8" i="5"/>
  <c r="K39" i="5" s="1"/>
  <c r="L52" i="5"/>
  <c r="M30" i="3"/>
  <c r="L25" i="3"/>
  <c r="J40" i="3"/>
  <c r="J42" i="3" s="1"/>
  <c r="K24" i="3"/>
  <c r="M24" i="3"/>
  <c r="L29" i="3"/>
  <c r="M29" i="3" s="1"/>
  <c r="L33" i="3"/>
  <c r="M33" i="3" s="1"/>
  <c r="L37" i="3"/>
  <c r="M37" i="3" s="1"/>
  <c r="L38" i="3"/>
  <c r="M38" i="3" s="1"/>
  <c r="F25" i="3"/>
  <c r="K16" i="3"/>
  <c r="K29" i="3" s="1"/>
  <c r="M7" i="3"/>
  <c r="K14" i="3"/>
  <c r="M20" i="3"/>
  <c r="K13" i="3"/>
  <c r="K38" i="3" s="1"/>
  <c r="H22" i="3"/>
  <c r="K22" i="3"/>
  <c r="M22" i="3"/>
  <c r="K21" i="3"/>
  <c r="M8" i="3"/>
  <c r="K23" i="3"/>
  <c r="K18" i="3"/>
  <c r="K37" i="3" s="1"/>
  <c r="K12" i="3"/>
  <c r="M17" i="3"/>
  <c r="M9" i="3"/>
  <c r="K19" i="3"/>
  <c r="K15" i="3"/>
  <c r="K11" i="3"/>
  <c r="H18" i="3"/>
  <c r="H14" i="3"/>
  <c r="H10" i="3"/>
  <c r="H21" i="3"/>
  <c r="H17" i="3"/>
  <c r="H13" i="3"/>
  <c r="H9" i="3"/>
  <c r="H23" i="3"/>
  <c r="H20" i="3"/>
  <c r="H16" i="3"/>
  <c r="H12" i="3"/>
  <c r="H8" i="3"/>
  <c r="H19" i="3"/>
  <c r="H15" i="3"/>
  <c r="H11" i="3"/>
  <c r="H7" i="3"/>
  <c r="G25" i="3"/>
  <c r="M20" i="2"/>
  <c r="M6" i="2"/>
  <c r="M33" i="2"/>
  <c r="M31" i="2"/>
  <c r="M12" i="2"/>
  <c r="M9" i="2"/>
  <c r="M24" i="2"/>
  <c r="M14" i="2"/>
  <c r="M38" i="2"/>
  <c r="M35" i="2"/>
  <c r="M10" i="2"/>
  <c r="M18" i="2"/>
  <c r="M29" i="2"/>
  <c r="M26" i="2"/>
  <c r="M23" i="2"/>
  <c r="M37" i="2"/>
  <c r="M34" i="2"/>
  <c r="M32" i="2"/>
  <c r="M30" i="2"/>
  <c r="M16" i="2"/>
  <c r="M15" i="2"/>
  <c r="M21" i="2"/>
  <c r="M36" i="2"/>
  <c r="M13" i="2"/>
  <c r="M11" i="2"/>
  <c r="M17" i="2"/>
  <c r="M28" i="2"/>
  <c r="M25" i="2"/>
  <c r="M22" i="2"/>
  <c r="M8" i="2"/>
  <c r="M7" i="2"/>
  <c r="M27" i="2"/>
  <c r="M19" i="2"/>
  <c r="F30" i="1"/>
  <c r="G39" i="2"/>
  <c r="D46" i="1"/>
  <c r="K49" i="13" l="1"/>
  <c r="N40" i="13"/>
  <c r="M38" i="13"/>
  <c r="N38" i="13" s="1"/>
  <c r="M30" i="13"/>
  <c r="M46" i="13"/>
  <c r="N33" i="13"/>
  <c r="P50" i="10"/>
  <c r="M55" i="10"/>
  <c r="N55" i="10" s="1"/>
  <c r="N31" i="12"/>
  <c r="N39" i="12"/>
  <c r="O26" i="12"/>
  <c r="L45" i="12"/>
  <c r="M36" i="12"/>
  <c r="N36" i="12" s="1"/>
  <c r="P21" i="12"/>
  <c r="P26" i="12" s="1"/>
  <c r="M42" i="12"/>
  <c r="M26" i="12"/>
  <c r="M66" i="10"/>
  <c r="M50" i="10"/>
  <c r="M58" i="10"/>
  <c r="M60" i="10"/>
  <c r="N60" i="10" s="1"/>
  <c r="N54" i="10"/>
  <c r="K50" i="10"/>
  <c r="K42" i="5"/>
  <c r="K52" i="5" s="1"/>
  <c r="K34" i="5"/>
  <c r="M47" i="5"/>
  <c r="M38" i="5"/>
  <c r="N22" i="8"/>
  <c r="M18" i="9"/>
  <c r="M28" i="9"/>
  <c r="J22" i="9"/>
  <c r="J14" i="9"/>
  <c r="K6" i="9"/>
  <c r="M19" i="9"/>
  <c r="M27" i="9"/>
  <c r="J22" i="8"/>
  <c r="J30" i="8"/>
  <c r="M27" i="8"/>
  <c r="M35" i="8"/>
  <c r="M12" i="7"/>
  <c r="M14" i="7"/>
  <c r="M48" i="5"/>
  <c r="M39" i="5"/>
  <c r="M16" i="7"/>
  <c r="J8" i="7"/>
  <c r="J22" i="7"/>
  <c r="J26" i="7" s="1"/>
  <c r="M21" i="7"/>
  <c r="J52" i="5"/>
  <c r="G34" i="5"/>
  <c r="K40" i="3"/>
  <c r="K25" i="3"/>
  <c r="K33" i="3"/>
  <c r="K42" i="3" s="1"/>
  <c r="L42" i="3"/>
  <c r="M39" i="2"/>
  <c r="M49" i="13" l="1"/>
  <c r="M45" i="12"/>
  <c r="M69" i="10"/>
  <c r="L50" i="10"/>
  <c r="K69" i="10"/>
  <c r="M42" i="5"/>
  <c r="J32" i="9"/>
  <c r="K22" i="9"/>
  <c r="K32" i="9" s="1"/>
  <c r="K14" i="9"/>
  <c r="K30" i="8"/>
  <c r="K40" i="8" s="1"/>
  <c r="K22" i="8"/>
  <c r="J40" i="8"/>
  <c r="K22" i="7"/>
  <c r="K26" i="7" s="1"/>
  <c r="K8" i="7"/>
  <c r="N58" i="10" l="1"/>
  <c r="M22" i="9"/>
  <c r="M30" i="8"/>
  <c r="M22" i="7"/>
  <c r="L69" i="10" l="1"/>
</calcChain>
</file>

<file path=xl/sharedStrings.xml><?xml version="1.0" encoding="utf-8"?>
<sst xmlns="http://schemas.openxmlformats.org/spreadsheetml/2006/main" count="875" uniqueCount="166">
  <si>
    <t>Date</t>
  </si>
  <si>
    <t>Libellé</t>
  </si>
  <si>
    <t>Montant €</t>
  </si>
  <si>
    <t>Montant
CHF</t>
  </si>
  <si>
    <t>TVA
incluse</t>
  </si>
  <si>
    <t>Montant TVA</t>
  </si>
  <si>
    <t>Restaurant</t>
  </si>
  <si>
    <t>Total:</t>
  </si>
  <si>
    <t>Frais véhicule</t>
  </si>
  <si>
    <t>Essence</t>
  </si>
  <si>
    <t>Frais de montage</t>
  </si>
  <si>
    <t>Frais de représentation</t>
  </si>
  <si>
    <t>Frais de voyage</t>
  </si>
  <si>
    <t>Frais de transport</t>
  </si>
  <si>
    <t>Frais achat materiel</t>
  </si>
  <si>
    <t>Parking</t>
  </si>
  <si>
    <t>Gazole</t>
  </si>
  <si>
    <t>Hotel</t>
  </si>
  <si>
    <t>Achat divers</t>
  </si>
  <si>
    <t>Voyage</t>
  </si>
  <si>
    <t>Repas</t>
  </si>
  <si>
    <t>Gabriel Gagnère</t>
  </si>
  <si>
    <t>Dépenses Juillet 2024 1849,96 CHF</t>
  </si>
  <si>
    <t xml:space="preserve">N° </t>
  </si>
  <si>
    <t xml:space="preserve">Date </t>
  </si>
  <si>
    <t xml:space="preserve">Vendeur </t>
  </si>
  <si>
    <t>Total HT</t>
  </si>
  <si>
    <t xml:space="preserve"> TVA </t>
  </si>
  <si>
    <t>Total</t>
  </si>
  <si>
    <t>Autre</t>
  </si>
  <si>
    <t>Parkgest Services SA</t>
  </si>
  <si>
    <t>Fleur de Pains SA</t>
  </si>
  <si>
    <t>Forcook Repas</t>
  </si>
  <si>
    <t>Chez nous 3 Sàrl Repas</t>
  </si>
  <si>
    <t>Denner AG Autre</t>
  </si>
  <si>
    <t>Palry SA Repas</t>
  </si>
  <si>
    <t>Justa SA Repas</t>
  </si>
  <si>
    <t>Police ouest lausannois Voyage</t>
  </si>
  <si>
    <t>La nouvelle Charrue SA Repas</t>
  </si>
  <si>
    <t>Société Coopérative Migros Vaud Repas</t>
  </si>
  <si>
    <t>Fleur de Pains SA Repas</t>
  </si>
  <si>
    <t>Le Taillecou Repas</t>
  </si>
  <si>
    <t>Clac Sàrl Repas</t>
  </si>
  <si>
    <t>Paybyphone Voyage</t>
  </si>
  <si>
    <t>Hôtelrest S.A. Repas</t>
  </si>
  <si>
    <t>Migrol AG Autre</t>
  </si>
  <si>
    <t>Parking pay Voyage</t>
  </si>
  <si>
    <t>Valora Schweiz AG Repas</t>
  </si>
  <si>
    <t>Apple Distribution International Limited,Hollyhill/IE Autre</t>
  </si>
  <si>
    <t>Holy Cow</t>
  </si>
  <si>
    <t>Ch. Delley</t>
  </si>
  <si>
    <t>Millennium Center SA</t>
  </si>
  <si>
    <t>Migrol AG</t>
  </si>
  <si>
    <t>Perroy beach</t>
  </si>
  <si>
    <t>Cornut Fleuriste</t>
  </si>
  <si>
    <t>HLS Hotels &amp; Spa AG</t>
  </si>
  <si>
    <t>Piguet Premium Spirits</t>
  </si>
  <si>
    <t>Le Taillecou</t>
  </si>
  <si>
    <t>Viva Zhubi Sàrl</t>
  </si>
  <si>
    <t>Taux
TVA</t>
  </si>
  <si>
    <t>Informatique</t>
  </si>
  <si>
    <t>M</t>
  </si>
  <si>
    <t>Food court Repas/Holly cow</t>
  </si>
  <si>
    <t>Frais représentation</t>
  </si>
  <si>
    <t>Lavage véhicule</t>
  </si>
  <si>
    <t xml:space="preserve">Frais Gabriel Gagnère </t>
  </si>
  <si>
    <t>Promerka SA</t>
  </si>
  <si>
    <t>Frais de logement</t>
  </si>
  <si>
    <t>Diff.</t>
  </si>
  <si>
    <t>Publicité</t>
  </si>
  <si>
    <t>Taux
TVA
calculé</t>
  </si>
  <si>
    <t>Montant 
TVA</t>
  </si>
  <si>
    <t xml:space="preserve">Montant </t>
  </si>
  <si>
    <t>Catégorie</t>
  </si>
  <si>
    <t>Montant 
NET</t>
  </si>
  <si>
    <t>TYPE</t>
  </si>
  <si>
    <t>Dépenses Août 2024 1137.88 CHF</t>
  </si>
  <si>
    <t>L'Etape à la Hauteur</t>
  </si>
  <si>
    <t>Denner AG</t>
  </si>
  <si>
    <t>Digitalparking</t>
  </si>
  <si>
    <t>Restaurant Taillecou</t>
  </si>
  <si>
    <t>Lidl Schweiz</t>
  </si>
  <si>
    <t>Len's Distribution Sàrl</t>
  </si>
  <si>
    <t>Apple Distribution</t>
  </si>
  <si>
    <t>Hestya Retail Sàrl</t>
  </si>
  <si>
    <t>Boulangerie Lhéritier</t>
  </si>
  <si>
    <t>Total TTC</t>
  </si>
  <si>
    <t>Taux
TVA
calculé2</t>
  </si>
  <si>
    <t>Bureau</t>
  </si>
  <si>
    <t>Denner AG (1/2)</t>
  </si>
  <si>
    <t>Denner AG (2/2)</t>
  </si>
  <si>
    <t>Carburants</t>
  </si>
  <si>
    <t>Difference dcpte</t>
  </si>
  <si>
    <t>Difference</t>
  </si>
  <si>
    <t>Taux
TVA
calculé3</t>
  </si>
  <si>
    <t>TVA</t>
  </si>
  <si>
    <t>MWST-Gruppe Lidl Schweiz DL AG</t>
  </si>
  <si>
    <t>WIX.COM Ltd Tel Aviv / ISR</t>
  </si>
  <si>
    <t>Alexandre Restauration Sàrl</t>
  </si>
  <si>
    <t>Apple Distribution International Limited Hollyhill/IE</t>
  </si>
  <si>
    <t>École polytechnique fédérale de Lausanne EPFL</t>
  </si>
  <si>
    <t>The Green Van Company</t>
  </si>
  <si>
    <t>Le Coucou</t>
  </si>
  <si>
    <t>Takaya SA</t>
  </si>
  <si>
    <t>Lausanne parking</t>
  </si>
  <si>
    <t>Eni Suisse S.A.</t>
  </si>
  <si>
    <t>Grimper.ch SA</t>
  </si>
  <si>
    <t>Lepis taff</t>
  </si>
  <si>
    <t>MWST-Gruppe Coop Genossenschaft</t>
  </si>
  <si>
    <t>Achat</t>
  </si>
  <si>
    <t>Axers Sarl</t>
  </si>
  <si>
    <t>TVA2</t>
  </si>
  <si>
    <t>Frais deplacement</t>
  </si>
  <si>
    <t>Fust</t>
  </si>
  <si>
    <t>Dépenses Sept 2024 2251.85 CHF</t>
  </si>
  <si>
    <t>Remboursement</t>
  </si>
  <si>
    <t>TVA
CHF</t>
  </si>
  <si>
    <t>Montant 
CHF</t>
  </si>
  <si>
    <t>Décompte
VISA</t>
  </si>
  <si>
    <t>Remboursement 2</t>
  </si>
  <si>
    <t>Remboursement 1</t>
  </si>
  <si>
    <t>Arrondi</t>
  </si>
  <si>
    <t xml:space="preserve">Mastercard </t>
  </si>
  <si>
    <t>Mastercard</t>
  </si>
  <si>
    <t>H &amp; M Hennes &amp; Mauritz AG</t>
  </si>
  <si>
    <t>Mokhaao Thaï Food SNC</t>
  </si>
  <si>
    <t>PMS PARKING MANAGEMENT SERVICES SA</t>
  </si>
  <si>
    <t>MWST-Gruppe, Die Schweizerische Post</t>
  </si>
  <si>
    <t>Société Coopérative Migros Vaud</t>
  </si>
  <si>
    <t>Parking pay</t>
  </si>
  <si>
    <t>MSO Sàrl</t>
  </si>
  <si>
    <t>Gifi</t>
  </si>
  <si>
    <t>Paybyphone</t>
  </si>
  <si>
    <t>Boulangerie Millioud Sàrl</t>
  </si>
  <si>
    <t>P. Clément Boulangerie et Pâtisserie Sàrl</t>
  </si>
  <si>
    <t>Autogrill Schweiz AG</t>
  </si>
  <si>
    <t>Caviar House Airport Premium Suisse SA</t>
  </si>
  <si>
    <t>Alex Gaststätten Gesellschaft mbH &amp; Co KG</t>
  </si>
  <si>
    <t>Hilton Cologne</t>
  </si>
  <si>
    <t>Hébergement</t>
  </si>
  <si>
    <t>Noodle Fan</t>
  </si>
  <si>
    <t>Uber</t>
  </si>
  <si>
    <t>Taxi</t>
  </si>
  <si>
    <t>Cafe pistazie</t>
  </si>
  <si>
    <t>Apple Distribution International Limited, Hollyhill/IE</t>
  </si>
  <si>
    <t>Kölnmesse GmbH</t>
  </si>
  <si>
    <t>Hotel im Wasserturm</t>
  </si>
  <si>
    <t>Aéroport International de Genève</t>
  </si>
  <si>
    <t>Locatelli Sàrl</t>
  </si>
  <si>
    <t>Confiserie - Tea-room Christian Boillat Sàrl</t>
  </si>
  <si>
    <t>Garage Guex SA</t>
  </si>
  <si>
    <t>Pratikessens</t>
  </si>
  <si>
    <t>Delticom AG, Autoreifenvertrieb, Hannover /D</t>
  </si>
  <si>
    <t>EURO</t>
  </si>
  <si>
    <t>15,00</t>
  </si>
  <si>
    <t>35,00</t>
  </si>
  <si>
    <t>11,00</t>
  </si>
  <si>
    <t>753,26</t>
  </si>
  <si>
    <t>24,38</t>
  </si>
  <si>
    <t>Privé</t>
  </si>
  <si>
    <t>Dcpte 
Mastercard</t>
  </si>
  <si>
    <t>Montant 
Brut CHF</t>
  </si>
  <si>
    <t>Montant 
NET CHF</t>
  </si>
  <si>
    <t>Arrondi
Mastercard</t>
  </si>
  <si>
    <t>Dépenses Oct 2024 24090.13 CHF</t>
  </si>
  <si>
    <t>Mastercard arrondi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</si>
</sst>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dd&quot;.&quot;mm&quot;.&quot;yyyy"/>
    <numFmt numFmtId="165" formatCode="0.0\ &quot;%&quot;"/>
    <numFmt numFmtId="166" formatCode="dd&quot;.&quot;mm&quot;.&quot;yyyy;@"/>
    <numFmt numFmtId="167" formatCode="0.00\ &quot;%&quot;"/>
    <numFmt numFmtId="168" formatCode="[$CHF-100C]&quot; &quot;#,##0.00"/>
    <numFmt numFmtId="169" formatCode="[$€-100C]&quot; &quot;#,##0.00;[Red]&quot;-&quot;[$€-100C]&quot; &quot;#,##0.00"/>
  </numFmts>
  <fonts count="2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i/>
      <sz val="11"/>
      <color rgb="FF000000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  <font>
      <i/>
      <sz val="11"/>
      <color rgb="FF00B050"/>
      <name val="Calibri"/>
      <family val="2"/>
    </font>
    <font>
      <i/>
      <sz val="9"/>
      <color rgb="FFFF0000"/>
      <name val="Calibri"/>
      <family val="2"/>
    </font>
    <font>
      <i/>
      <sz val="9"/>
      <name val="Calibri"/>
      <family val="2"/>
    </font>
    <font>
      <i/>
      <sz val="9"/>
      <color theme="1"/>
      <name val="Calibri"/>
      <family val="2"/>
    </font>
    <font>
      <b/>
      <i/>
      <sz val="11"/>
      <color rgb="FF00B05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</font>
    <font>
      <i/>
      <sz val="9"/>
      <color rgb="FF00B050"/>
      <name val="Calibri"/>
      <family val="2"/>
    </font>
    <font>
      <b/>
      <i/>
      <sz val="9"/>
      <color rgb="FF00B05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152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8" fontId="0" fillId="0" borderId="0" xfId="0" applyNumberFormat="1"/>
    <xf numFmtId="2" fontId="2" fillId="0" borderId="0" xfId="0" applyNumberFormat="1" applyFont="1"/>
    <xf numFmtId="166" fontId="0" fillId="0" borderId="0" xfId="0" applyNumberFormat="1"/>
    <xf numFmtId="2" fontId="0" fillId="0" borderId="0" xfId="0" applyNumberFormat="1" applyAlignment="1">
      <alignment horizontal="right"/>
    </xf>
    <xf numFmtId="166" fontId="2" fillId="0" borderId="0" xfId="0" applyNumberFormat="1" applyFont="1"/>
    <xf numFmtId="169" fontId="0" fillId="0" borderId="0" xfId="0" applyNumberFormat="1"/>
    <xf numFmtId="168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 wrapText="1"/>
    </xf>
    <xf numFmtId="2" fontId="5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/>
    <xf numFmtId="2" fontId="2" fillId="3" borderId="0" xfId="0" applyNumberFormat="1" applyFont="1" applyFill="1"/>
    <xf numFmtId="0" fontId="8" fillId="2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4" borderId="0" xfId="0" applyNumberFormat="1" applyFill="1"/>
    <xf numFmtId="0" fontId="9" fillId="0" borderId="0" xfId="0" applyFont="1"/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right" wrapText="1"/>
    </xf>
    <xf numFmtId="2" fontId="9" fillId="0" borderId="0" xfId="0" applyNumberFormat="1" applyFont="1"/>
    <xf numFmtId="2" fontId="10" fillId="3" borderId="0" xfId="0" applyNumberFormat="1" applyFont="1" applyFill="1"/>
    <xf numFmtId="0" fontId="2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2" fontId="12" fillId="3" borderId="0" xfId="0" applyNumberFormat="1" applyFont="1" applyFill="1"/>
    <xf numFmtId="2" fontId="7" fillId="0" borderId="0" xfId="0" applyNumberFormat="1" applyFont="1"/>
    <xf numFmtId="2" fontId="3" fillId="0" borderId="0" xfId="0" applyNumberFormat="1" applyFont="1"/>
    <xf numFmtId="2" fontId="2" fillId="0" borderId="0" xfId="0" applyNumberFormat="1" applyFont="1" applyFill="1"/>
    <xf numFmtId="0" fontId="13" fillId="0" borderId="0" xfId="0" applyFont="1"/>
    <xf numFmtId="2" fontId="14" fillId="0" borderId="0" xfId="0" applyNumberFormat="1" applyFont="1"/>
    <xf numFmtId="2" fontId="13" fillId="0" borderId="0" xfId="0" applyNumberFormat="1" applyFont="1"/>
    <xf numFmtId="2" fontId="13" fillId="0" borderId="0" xfId="0" applyNumberFormat="1" applyFont="1" applyFill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10" fillId="0" borderId="2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0" applyFont="1"/>
    <xf numFmtId="2" fontId="14" fillId="0" borderId="0" xfId="0" applyNumberFormat="1" applyFont="1" applyAlignment="1">
      <alignment horizontal="right"/>
    </xf>
    <xf numFmtId="2" fontId="3" fillId="0" borderId="0" xfId="0" applyNumberFormat="1" applyFont="1" applyFill="1"/>
    <xf numFmtId="166" fontId="7" fillId="0" borderId="0" xfId="0" applyNumberFormat="1" applyFont="1"/>
    <xf numFmtId="168" fontId="7" fillId="0" borderId="0" xfId="0" applyNumberFormat="1" applyFont="1"/>
    <xf numFmtId="0" fontId="14" fillId="0" borderId="0" xfId="0" applyFont="1"/>
    <xf numFmtId="0" fontId="15" fillId="0" borderId="2" xfId="0" applyFont="1" applyBorder="1" applyAlignment="1">
      <alignment horizontal="right" wrapText="1"/>
    </xf>
    <xf numFmtId="0" fontId="0" fillId="0" borderId="0" xfId="0" applyFont="1"/>
    <xf numFmtId="2" fontId="9" fillId="0" borderId="0" xfId="0" applyNumberFormat="1" applyFont="1" applyAlignment="1">
      <alignment horizontal="right"/>
    </xf>
    <xf numFmtId="0" fontId="2" fillId="5" borderId="2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 wrapText="1"/>
    </xf>
    <xf numFmtId="2" fontId="17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2" fontId="20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2" fontId="8" fillId="0" borderId="0" xfId="0" applyNumberFormat="1" applyFont="1" applyFill="1"/>
    <xf numFmtId="2" fontId="4" fillId="0" borderId="0" xfId="0" applyNumberFormat="1" applyFont="1"/>
    <xf numFmtId="2" fontId="15" fillId="0" borderId="0" xfId="0" applyNumberFormat="1" applyFont="1"/>
    <xf numFmtId="0" fontId="23" fillId="0" borderId="0" xfId="0" applyFont="1" applyAlignment="1">
      <alignment horizontal="right"/>
    </xf>
    <xf numFmtId="0" fontId="23" fillId="0" borderId="2" xfId="0" applyFont="1" applyBorder="1" applyAlignment="1">
      <alignment horizontal="right" wrapText="1"/>
    </xf>
    <xf numFmtId="2" fontId="24" fillId="3" borderId="0" xfId="0" applyNumberFormat="1" applyFont="1" applyFill="1" applyAlignment="1">
      <alignment horizontal="right"/>
    </xf>
    <xf numFmtId="2" fontId="0" fillId="0" borderId="0" xfId="0" applyNumberFormat="1" applyFont="1"/>
    <xf numFmtId="2" fontId="0" fillId="3" borderId="0" xfId="0" applyNumberFormat="1" applyFont="1" applyFill="1"/>
    <xf numFmtId="2" fontId="10" fillId="0" borderId="0" xfId="0" applyNumberFormat="1" applyFont="1" applyAlignment="1">
      <alignment horizontal="right"/>
    </xf>
    <xf numFmtId="2" fontId="0" fillId="0" borderId="0" xfId="0" applyNumberFormat="1" applyFont="1" applyFill="1"/>
    <xf numFmtId="2" fontId="4" fillId="0" borderId="0" xfId="0" applyNumberFormat="1" applyFont="1" applyFill="1"/>
    <xf numFmtId="0" fontId="0" fillId="4" borderId="0" xfId="0" applyFill="1"/>
    <xf numFmtId="2" fontId="0" fillId="0" borderId="0" xfId="0" applyNumberFormat="1" applyAlignment="1">
      <alignment horizontal="left"/>
    </xf>
    <xf numFmtId="0" fontId="2" fillId="0" borderId="3" xfId="0" applyFont="1" applyBorder="1" applyAlignment="1">
      <alignment horizontal="right" wrapText="1"/>
    </xf>
    <xf numFmtId="2" fontId="2" fillId="0" borderId="2" xfId="0" applyNumberFormat="1" applyFont="1" applyBorder="1" applyAlignment="1">
      <alignment wrapText="1"/>
    </xf>
    <xf numFmtId="2" fontId="2" fillId="0" borderId="2" xfId="0" applyNumberFormat="1" applyFont="1" applyBorder="1"/>
    <xf numFmtId="0" fontId="0" fillId="0" borderId="0" xfId="0" applyFill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right" wrapText="1"/>
    </xf>
    <xf numFmtId="2" fontId="0" fillId="0" borderId="0" xfId="0" applyNumberFormat="1" applyFont="1" applyFill="1" applyBorder="1" applyAlignment="1">
      <alignment horizontal="right" wrapText="1"/>
    </xf>
    <xf numFmtId="2" fontId="15" fillId="0" borderId="0" xfId="0" applyNumberFormat="1" applyFont="1" applyBorder="1" applyAlignment="1">
      <alignment horizontal="right" wrapText="1"/>
    </xf>
    <xf numFmtId="2" fontId="0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horizontal="right"/>
    </xf>
    <xf numFmtId="14" fontId="0" fillId="0" borderId="0" xfId="0" applyNumberFormat="1" applyFont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Fill="1"/>
    <xf numFmtId="0" fontId="3" fillId="5" borderId="2" xfId="0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2" fontId="3" fillId="3" borderId="0" xfId="0" applyNumberFormat="1" applyFont="1" applyFill="1"/>
    <xf numFmtId="0" fontId="8" fillId="0" borderId="0" xfId="0" applyFont="1"/>
    <xf numFmtId="0" fontId="8" fillId="5" borderId="2" xfId="0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2" fontId="8" fillId="3" borderId="0" xfId="0" applyNumberFormat="1" applyFont="1" applyFill="1"/>
    <xf numFmtId="0" fontId="8" fillId="0" borderId="2" xfId="0" applyFont="1" applyFill="1" applyBorder="1" applyAlignment="1">
      <alignment horizontal="left"/>
    </xf>
    <xf numFmtId="166" fontId="4" fillId="0" borderId="0" xfId="0" applyNumberFormat="1" applyFont="1"/>
    <xf numFmtId="166" fontId="8" fillId="0" borderId="0" xfId="0" applyNumberFormat="1" applyFont="1"/>
    <xf numFmtId="2" fontId="23" fillId="0" borderId="0" xfId="0" applyNumberFormat="1" applyFont="1" applyFill="1" applyBorder="1" applyAlignment="1">
      <alignment horizontal="right"/>
    </xf>
    <xf numFmtId="2" fontId="23" fillId="0" borderId="0" xfId="0" applyNumberFormat="1" applyFont="1" applyFill="1" applyAlignment="1">
      <alignment horizontal="right"/>
    </xf>
    <xf numFmtId="2" fontId="2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6" borderId="0" xfId="0" applyNumberFormat="1" applyFont="1" applyFill="1"/>
    <xf numFmtId="168" fontId="0" fillId="6" borderId="0" xfId="0" applyNumberFormat="1" applyFill="1"/>
    <xf numFmtId="0" fontId="10" fillId="0" borderId="0" xfId="0" applyFont="1"/>
    <xf numFmtId="0" fontId="9" fillId="0" borderId="2" xfId="0" applyFont="1" applyFill="1" applyBorder="1" applyAlignment="1">
      <alignment horizontal="right" wrapText="1"/>
    </xf>
    <xf numFmtId="2" fontId="9" fillId="0" borderId="0" xfId="0" applyNumberFormat="1" applyFont="1" applyFill="1" applyBorder="1" applyAlignment="1">
      <alignment horizontal="right" wrapText="1"/>
    </xf>
    <xf numFmtId="168" fontId="0" fillId="0" borderId="0" xfId="0" applyNumberFormat="1" applyFont="1"/>
    <xf numFmtId="168" fontId="0" fillId="6" borderId="0" xfId="0" applyNumberFormat="1" applyFont="1" applyFill="1"/>
    <xf numFmtId="2" fontId="8" fillId="0" borderId="0" xfId="0" applyNumberFormat="1" applyFont="1"/>
    <xf numFmtId="0" fontId="3" fillId="0" borderId="0" xfId="0" applyFont="1"/>
    <xf numFmtId="0" fontId="7" fillId="0" borderId="3" xfId="0" applyFont="1" applyBorder="1" applyAlignment="1">
      <alignment horizontal="right" wrapText="1"/>
    </xf>
    <xf numFmtId="0" fontId="24" fillId="0" borderId="0" xfId="0" applyFont="1" applyAlignment="1">
      <alignment horizontal="right"/>
    </xf>
    <xf numFmtId="0" fontId="25" fillId="0" borderId="0" xfId="0" applyFont="1"/>
  </cellXfs>
  <cellStyles count="2">
    <cellStyle name="Normal" xfId="0" builtinId="0"/>
    <cellStyle name="Normal 2" xfId="1" xr:uid="{4CC422B6-5648-491F-9319-137B7E475254}"/>
  </cellStyles>
  <dxfs count="1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font>
        <b val="0"/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</dxf>
    <dxf>
      <font>
        <i/>
      </font>
      <numFmt numFmtId="2" formatCode="0.0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i/>
      </font>
      <numFmt numFmtId="2" formatCode="0.0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font>
        <b val="0"/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i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i/>
        <strike val="0"/>
        <outline val="0"/>
        <shadow val="0"/>
        <u val="none"/>
        <vertAlign val="baseline"/>
        <sz val="9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i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i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font>
        <i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i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font>
        <i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color auto="1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</dxfs>
  <tableStyles count="1" defaultTableStyle="TableStyleMedium2" defaultPivotStyle="PivotStyleLight16">
    <tableStyle name="Style de tableau 1" pivot="0" count="0" xr9:uid="{63F2142C-6EB6-4289-AE68-576D13E5D9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03361-CCEC-4772-9D81-98C1C65B940A}" name="Tableau1" displayName="Tableau1" ref="A5:N38" totalsRowShown="0" headerRowDxfId="125">
  <autoFilter ref="A5:N38" xr:uid="{B4503361-CCEC-4772-9D81-98C1C65B940A}"/>
  <tableColumns count="14">
    <tableColumn id="1" xr3:uid="{0054356D-A8E4-4C0B-B9CB-1DBCD46C57B8}" name="N° " dataDxfId="124"/>
    <tableColumn id="2" xr3:uid="{29BCEEB1-0DFC-4929-A8F4-8CBDBCBC047A}" name="Date " dataDxfId="123"/>
    <tableColumn id="3" xr3:uid="{10D1CABF-EE0D-4D16-A730-401CC41A30E7}" name="Vendeur "/>
    <tableColumn id="4" xr3:uid="{D0B03DBA-2FDC-4621-84E8-17523B8BD5C9}" name="TYPE"/>
    <tableColumn id="12" xr3:uid="{84FEE098-BEB9-482F-A3E4-AFF561F9978A}" name="Total" dataDxfId="122"/>
    <tableColumn id="5" xr3:uid="{DBFA87C8-C65D-48F2-9E3F-4F61B32D24D7}" name="Total HT" dataDxfId="121"/>
    <tableColumn id="6" xr3:uid="{6804DA64-691C-4B96-99B7-E9AE0CC8158F}" name=" TVA " dataDxfId="120">
      <calculatedColumnFormula>E6-F6</calculatedColumnFormula>
    </tableColumn>
    <tableColumn id="8" xr3:uid="{6941B50B-D6A3-4E06-8D5B-41F07849FC84}" name="Taux_x000a_TVA_x000a_calculé" dataDxfId="119">
      <calculatedColumnFormula>100/Tableau1[[#This Row],[Total HT]]*Tableau1[[#This Row],[ TVA ]]</calculatedColumnFormula>
    </tableColumn>
    <tableColumn id="11" xr3:uid="{E49A4EC2-E42C-425E-998C-86E13B3D151C}" name="Catégorie" dataDxfId="118"/>
    <tableColumn id="7" xr3:uid="{64F07B0B-B715-47E3-B075-620A8DE1AA10}" name="Montant " dataDxfId="117"/>
    <tableColumn id="10" xr3:uid="{0F2EB950-6D27-44B6-B2B6-6AD35F60292D}" name="Taux_x000a_TVA" dataDxfId="116"/>
    <tableColumn id="13" xr3:uid="{D3F2DE59-18E1-4723-B4CE-3DC2B81E7F13}" name="Montant _x000a_TVA" dataDxfId="115"/>
    <tableColumn id="14" xr3:uid="{49E6DDEA-B711-4E97-9CBF-00E5E421BBE5}" name="Diff." dataDxfId="114">
      <calculatedColumnFormula>Tableau1[[#This Row],[Montant 
TVA]]-Tableau1[[#This Row],[ TVA ]]</calculatedColumnFormula>
    </tableColumn>
    <tableColumn id="15" xr3:uid="{C8387003-93E7-4305-AC62-AF17B2885A9A}" name="Montant _x000a_NET" dataDxfId="113">
      <calculatedColumnFormula>Tableau1[[#This Row],[Montant ]]-Tableau1[[#This Row],[Montant 
TVA]]</calculatedColumnFormula>
    </tableColumn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54DB5E-7A9C-4EDC-99EF-17335D9730D3}" name="Tableau13" displayName="Tableau13" ref="A5:M24" totalsRowShown="0" headerRowDxfId="112" headerRowBorderDxfId="111">
  <autoFilter ref="A5:M24" xr:uid="{B4503361-CCEC-4772-9D81-98C1C65B940A}"/>
  <sortState xmlns:xlrd2="http://schemas.microsoft.com/office/spreadsheetml/2017/richdata2" ref="A6:M24">
    <sortCondition ref="A5:A24"/>
  </sortState>
  <tableColumns count="13">
    <tableColumn id="1" xr3:uid="{8779815C-C8A1-4238-8350-0FB87D6FA2E1}" name="N° " dataDxfId="110"/>
    <tableColumn id="2" xr3:uid="{E4094AD5-E1C4-4B2E-9B53-FCCEDF06E2E4}" name="Date " dataDxfId="109"/>
    <tableColumn id="3" xr3:uid="{7C1555DB-9CC7-4EA2-8476-2F9B5E3BE7E0}" name="Vendeur "/>
    <tableColumn id="4" xr3:uid="{40539ECA-735A-46A6-989D-9E81ECCAA2D0}" name="TYPE"/>
    <tableColumn id="12" xr3:uid="{533178C8-58CE-4662-A0DF-63819DF807AA}" name="Total TTC" dataDxfId="108"/>
    <tableColumn id="5" xr3:uid="{A83CFBCB-FE9F-48F3-B440-CA1956323323}" name="Total HT" dataDxfId="107"/>
    <tableColumn id="6" xr3:uid="{F6FEB7D9-867A-4EAE-8FE1-AF6E786EE552}" name="TVA" dataDxfId="106">
      <calculatedColumnFormula>E6-F6</calculatedColumnFormula>
    </tableColumn>
    <tableColumn id="8" xr3:uid="{C8D4F6DB-925D-4D02-8181-E1F993FBFBAF}" name="Taux_x000a_TVA_x000a_calculé3" dataDxfId="105">
      <calculatedColumnFormula>100/(Tableau13[[#This Row],[Total TTC]]-Tableau13[[#This Row],[TVA]])*Tableau13[[#This Row],[TVA]]</calculatedColumnFormula>
    </tableColumn>
    <tableColumn id="11" xr3:uid="{B2F80912-B45E-4A73-92E2-9DF60F867AFA}" name="Catégorie" dataDxfId="104"/>
    <tableColumn id="7" xr3:uid="{C1C7F43F-1CC1-4560-95C2-B3BA3EA92F68}" name="Montant " dataDxfId="103"/>
    <tableColumn id="9" xr3:uid="{5E8FB121-1AFF-4112-B65A-A5ECA4E52782}" name="Montant _x000a_NET" dataDxfId="102">
      <calculatedColumnFormula>Tableau13[[#This Row],[Montant ]]-Tableau13[[#This Row],[Montant 
TVA]]</calculatedColumnFormula>
    </tableColumn>
    <tableColumn id="13" xr3:uid="{97FF736C-1A85-4C4C-95ED-2642FA6B7811}" name="Montant _x000a_TVA" dataDxfId="101">
      <calculatedColumnFormula>Tableau13[[#This Row],[TVA]]</calculatedColumnFormula>
    </tableColumn>
    <tableColumn id="14" xr3:uid="{B7EDE30A-B0AB-468D-BA24-94758C5DF98B}" name="Taux_x000a_TVA_x000a_calculé2" dataDxfId="100">
      <calculatedColumnFormula>100/(Tableau13[[#This Row],[Montant ]]-Tableau13[[#This Row],[Montant 
TVA]])*Tableau13[[#This Row],[Montant 
TVA]]</calculatedColumnFormula>
    </tableColumn>
  </tableColumns>
  <tableStyleInfo name="Style de tableau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B61B62-F901-4831-96F3-81AFD8E75FE0}" name="Tableau134" displayName="Tableau134" ref="A6:N33" totalsRowShown="0" headerRowDxfId="99" headerRowBorderDxfId="98">
  <autoFilter ref="A6:N33" xr:uid="{B4503361-CCEC-4772-9D81-98C1C65B940A}"/>
  <sortState xmlns:xlrd2="http://schemas.microsoft.com/office/spreadsheetml/2017/richdata2" ref="A7:M33">
    <sortCondition ref="B6:B33"/>
  </sortState>
  <tableColumns count="14">
    <tableColumn id="1" xr3:uid="{58DBE9ED-606A-4DDD-A14B-02C9D7F1BD7C}" name="N° " dataDxfId="97"/>
    <tableColumn id="2" xr3:uid="{55BF47E0-9710-44EE-BB0E-10F1516D1C0A}" name="Date " dataDxfId="96"/>
    <tableColumn id="3" xr3:uid="{A35414F6-25DF-4B81-9C81-1E92ED08552D}" name="Vendeur "/>
    <tableColumn id="4" xr3:uid="{ABF17169-1E55-4E68-9233-A62555C36CD1}" name="TYPE"/>
    <tableColumn id="12" xr3:uid="{3CE9F511-A116-487C-9E1B-C866CF0B0907}" name="Total HT" dataDxfId="95"/>
    <tableColumn id="5" xr3:uid="{CCE023F6-FA1A-4074-8FB0-0E7D762D062F}" name="TVA" dataDxfId="94"/>
    <tableColumn id="6" xr3:uid="{4742FF0D-D0D2-4CC5-A11E-B6300B889013}" name="Total TTC" dataDxfId="93">
      <calculatedColumnFormula>Tableau134[[#This Row],[Total HT]]+Tableau134[[#This Row],[TVA]]</calculatedColumnFormula>
    </tableColumn>
    <tableColumn id="8" xr3:uid="{D02FB1B9-5E9B-45BC-8121-56D6592B7351}" name="Taux_x000a_TVA_x000a_calculé3" dataDxfId="92">
      <calculatedColumnFormula>100/Tableau134[[#This Row],[Total HT]]*Tableau134[[#This Row],[TVA]]</calculatedColumnFormula>
    </tableColumn>
    <tableColumn id="11" xr3:uid="{A25473CC-416E-4BB7-88B2-0D536A6BED8D}" name="Catégorie" dataDxfId="91"/>
    <tableColumn id="7" xr3:uid="{B827EDF8-E683-442F-B9C8-980F48068BED}" name="Montant " dataDxfId="90">
      <calculatedColumnFormula>Tableau134[[#This Row],[Total TTC]]</calculatedColumnFormula>
    </tableColumn>
    <tableColumn id="9" xr3:uid="{0BAB9181-89AD-4AEF-99FA-CBE7D77F4B8C}" name="Montant _x000a_NET" dataDxfId="89">
      <calculatedColumnFormula>Tableau134[[#This Row],[Montant ]]-Tableau134[[#This Row],[TVA2]]</calculatedColumnFormula>
    </tableColumn>
    <tableColumn id="13" xr3:uid="{D8573017-CFBD-4E11-AF2F-627C3A1289D4}" name="TVA2" dataDxfId="88"/>
    <tableColumn id="14" xr3:uid="{D7DAB47B-8918-4BC9-9CB4-F9A4075AEDE9}" name="Taux_x000a_TVA_x000a_calculé2" dataDxfId="87"/>
    <tableColumn id="10" xr3:uid="{092368DA-B883-423A-AC3B-EF605EDACBF4}" name="Décompte_x000a_VISA"/>
  </tableColumns>
  <tableStyleInfo name="Style de tableau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EB448E-B47B-4144-AA7D-361757B1A925}" name="Tableau1346" displayName="Tableau1346" ref="A5:O21" totalsRowShown="0" headerRowDxfId="86" headerRowBorderDxfId="85">
  <autoFilter ref="A5:O21" xr:uid="{B4503361-CCEC-4772-9D81-98C1C65B940A}"/>
  <sortState xmlns:xlrd2="http://schemas.microsoft.com/office/spreadsheetml/2017/richdata2" ref="A6:O21">
    <sortCondition ref="A5:A21"/>
  </sortState>
  <tableColumns count="15">
    <tableColumn id="1" xr3:uid="{626E0287-6CD9-47E5-8DB6-50A084148A1C}" name="N° " dataDxfId="84"/>
    <tableColumn id="2" xr3:uid="{B88157BA-43A4-470D-9352-A812DF240DB2}" name="Date " dataDxfId="83"/>
    <tableColumn id="3" xr3:uid="{1D15A2A2-0C58-4A67-82A0-7EE8E7E1B580}" name="Vendeur "/>
    <tableColumn id="4" xr3:uid="{D170A29E-012A-461F-85A1-B0EFAEEC91F1}" name="TYPE"/>
    <tableColumn id="12" xr3:uid="{57638D4F-90E6-45F5-A534-745E95BF1A1E}" name="Total HT" dataDxfId="82"/>
    <tableColumn id="5" xr3:uid="{CA878F45-C266-4652-A060-249826F61FFC}" name="TVA" dataDxfId="81"/>
    <tableColumn id="6" xr3:uid="{572642D5-5402-45CD-A018-69BAA49FB009}" name="Total TTC" dataDxfId="80">
      <calculatedColumnFormula>Tableau1346[[#This Row],[Total HT]]+Tableau1346[[#This Row],[TVA]]</calculatedColumnFormula>
    </tableColumn>
    <tableColumn id="8" xr3:uid="{F1E45E57-F6D5-4354-A58D-A52324A49035}" name="Taux_x000a_TVA_x000a_calculé3" dataDxfId="79">
      <calculatedColumnFormula>100/Tableau1346[[#This Row],[Total HT]]*Tableau1346[[#This Row],[TVA]]</calculatedColumnFormula>
    </tableColumn>
    <tableColumn id="11" xr3:uid="{3991F78E-34BE-4F09-806B-37624FE7C3B2}" name="Catégorie" dataDxfId="78"/>
    <tableColumn id="7" xr3:uid="{9F60E864-45F6-4B34-9603-C9DB22979C24}" name="Montant _x000a_CHF" dataDxfId="77">
      <calculatedColumnFormula>Tableau1346[[#This Row],[Total TTC]]</calculatedColumnFormula>
    </tableColumn>
    <tableColumn id="9" xr3:uid="{4F652F57-1C29-4232-9A5F-533DB826EC02}" name="Montant _x000a_NET" dataDxfId="76">
      <calculatedColumnFormula>Tableau1346[[#This Row],[Montant 
CHF]]-Tableau1346[[#This Row],[TVA
CHF]]</calculatedColumnFormula>
    </tableColumn>
    <tableColumn id="13" xr3:uid="{B9C71267-3134-4282-B876-0B3BB29CA1C3}" name="TVA_x000a_CHF" dataDxfId="75"/>
    <tableColumn id="14" xr3:uid="{E6BE591D-5210-4BB6-98D5-6A5431F86CF7}" name="Taux_x000a_TVA" dataDxfId="74"/>
    <tableColumn id="10" xr3:uid="{B1D49A1E-0033-4307-BABB-AC124778851E}" name="Décompte_x000a_VISA" dataDxfId="73"/>
    <tableColumn id="15" xr3:uid="{21CF3E2F-F9AC-4027-B705-4AC7201A6F5D}" name="Arrondi" dataDxfId="72"/>
  </tableColumns>
  <tableStyleInfo name="Style de tableau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039427-4C5B-42D4-9AC7-AF081548D980}" name="Tableau1345" displayName="Tableau1345" ref="A4:M7" totalsRowShown="0" headerRowDxfId="71" headerRowBorderDxfId="70">
  <autoFilter ref="A4:M7" xr:uid="{B4503361-CCEC-4772-9D81-98C1C65B940A}"/>
  <sortState xmlns:xlrd2="http://schemas.microsoft.com/office/spreadsheetml/2017/richdata2" ref="A5:M7">
    <sortCondition ref="B4:B7"/>
  </sortState>
  <tableColumns count="13">
    <tableColumn id="1" xr3:uid="{A28CFE4D-297F-4281-9227-8FDA8E485757}" name="N° " dataDxfId="69"/>
    <tableColumn id="2" xr3:uid="{7EB1A288-41DB-40BF-9AAD-19FB5D28BD0D}" name="Date " dataDxfId="68"/>
    <tableColumn id="3" xr3:uid="{4F473BA3-2627-4370-B73B-ABB4F92A86C3}" name="Vendeur "/>
    <tableColumn id="4" xr3:uid="{E1AA323C-CCC9-47E5-A07B-96C1ECEA5634}" name="TYPE"/>
    <tableColumn id="12" xr3:uid="{84EA6AB3-0258-41C2-800A-EC05DB376900}" name="Total HT" dataDxfId="67"/>
    <tableColumn id="5" xr3:uid="{7218EFDD-A9D6-4DFB-84BE-E31969933BDC}" name="TVA" dataDxfId="66"/>
    <tableColumn id="6" xr3:uid="{031F575A-5958-456C-8881-860F3DCDD472}" name="Total TTC" dataDxfId="65">
      <calculatedColumnFormula>Tableau1345[[#This Row],[Total HT]]+Tableau1345[[#This Row],[TVA]]</calculatedColumnFormula>
    </tableColumn>
    <tableColumn id="8" xr3:uid="{DC261451-241E-4EC4-A97E-8C6C3D847E14}" name="Taux_x000a_TVA_x000a_calculé3" dataDxfId="64">
      <calculatedColumnFormula>100/Tableau1345[[#This Row],[Total HT]]*Tableau1345[[#This Row],[TVA]]</calculatedColumnFormula>
    </tableColumn>
    <tableColumn id="11" xr3:uid="{ED36AC8E-9C63-43DF-A914-90AF451C5228}" name="Catégorie" dataDxfId="63"/>
    <tableColumn id="7" xr3:uid="{3B206750-3989-4EF5-BC96-8134B3F0B28C}" name="Montant " dataDxfId="62">
      <calculatedColumnFormula>Tableau1345[[#This Row],[Total TTC]]</calculatedColumnFormula>
    </tableColumn>
    <tableColumn id="9" xr3:uid="{C65E26FF-58E4-4C6D-BC76-D88DFCAFA9F9}" name="Montant _x000a_NET" dataDxfId="61">
      <calculatedColumnFormula>Tableau1345[[#This Row],[Montant ]]-Tableau1345[[#This Row],[TVA2]]</calculatedColumnFormula>
    </tableColumn>
    <tableColumn id="13" xr3:uid="{E4CBFF85-3E55-4AA2-B469-43580AE71095}" name="TVA2" dataDxfId="60"/>
    <tableColumn id="14" xr3:uid="{C5E4A13E-28FC-4D83-B77A-8D8E6F9DB1AD}" name="Taux_x000a_TVA_x000a_calculé2" dataDxfId="59"/>
  </tableColumns>
  <tableStyleInfo name="Style de tableau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F5BD5F-C655-4082-9503-8AF3A9727838}" name="Tableau13467" displayName="Tableau13467" ref="A5:M13" totalsRowShown="0" headerRowDxfId="58" headerRowBorderDxfId="57">
  <autoFilter ref="A5:M13" xr:uid="{B4503361-CCEC-4772-9D81-98C1C65B940A}"/>
  <tableColumns count="13">
    <tableColumn id="1" xr3:uid="{953DBD5C-8B58-4246-B8B6-1686D93CD4F5}" name="N° " dataDxfId="56"/>
    <tableColumn id="2" xr3:uid="{E48B5770-7AEE-4D1F-B81B-93F3834A3434}" name="Date " dataDxfId="55"/>
    <tableColumn id="3" xr3:uid="{87C4A8E4-D821-4126-8B39-CF752EDB2C46}" name="Vendeur "/>
    <tableColumn id="4" xr3:uid="{D77A19EA-2EEF-4EF3-B6FC-36B62A9DAED2}" name="TYPE"/>
    <tableColumn id="12" xr3:uid="{11D08B13-AD6D-433D-A955-3C0D56E14950}" name="Total HT" dataDxfId="54"/>
    <tableColumn id="5" xr3:uid="{71F0137C-6DD9-4F72-AC99-605743655A66}" name="TVA" dataDxfId="53"/>
    <tableColumn id="6" xr3:uid="{B30B02CD-B1D6-4521-A070-49F145831A25}" name="Total TTC" dataDxfId="52">
      <calculatedColumnFormula>Tableau13467[[#This Row],[Total HT]]+Tableau13467[[#This Row],[TVA]]</calculatedColumnFormula>
    </tableColumn>
    <tableColumn id="8" xr3:uid="{2AA87818-08EF-4931-9B70-B50B0EAB6385}" name="Taux_x000a_TVA_x000a_calculé3" dataDxfId="51">
      <calculatedColumnFormula>100/Tableau13467[[#This Row],[Total HT]]*Tableau13467[[#This Row],[TVA]]</calculatedColumnFormula>
    </tableColumn>
    <tableColumn id="11" xr3:uid="{751D20CD-08B4-4CBD-A781-884062AF65D9}" name="Catégorie" dataDxfId="50"/>
    <tableColumn id="7" xr3:uid="{B18EEF98-B589-40B5-BDBE-D5A25F47A601}" name="Montant _x000a_CHF" dataDxfId="49">
      <calculatedColumnFormula>Tableau13467[[#This Row],[Total TTC]]</calculatedColumnFormula>
    </tableColumn>
    <tableColumn id="9" xr3:uid="{A8B11AC9-2484-4A64-BF78-B6B9404D72C3}" name="Montant _x000a_NET" dataDxfId="48">
      <calculatedColumnFormula>Tableau13467[[#This Row],[Montant 
CHF]]-Tableau13467[[#This Row],[TVA
CHF]]</calculatedColumnFormula>
    </tableColumn>
    <tableColumn id="13" xr3:uid="{D59A75D6-FA56-4D59-890A-41535AA75195}" name="TVA_x000a_CHF" dataDxfId="47"/>
    <tableColumn id="14" xr3:uid="{48D42FF0-B017-43AF-832C-E87D5B1763A9}" name="Taux_x000a_TVA" dataDxfId="46"/>
  </tableColumns>
  <tableStyleInfo name="Style de tableau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4E22E8-AEBA-4286-84C1-3B95F3075244}" name="Tableau134678" displayName="Tableau134678" ref="A8:P49" totalsRowShown="0" headerRowDxfId="45" headerRowBorderDxfId="44">
  <autoFilter ref="A8:P49" xr:uid="{B4503361-CCEC-4772-9D81-98C1C65B940A}"/>
  <tableColumns count="16">
    <tableColumn id="1" xr3:uid="{FC254F85-32A7-4ABB-8255-F7D43275619E}" name="N° " dataDxfId="43"/>
    <tableColumn id="2" xr3:uid="{5B79A805-4404-402F-8E91-A0FAC86FA49A}" name="Date " dataDxfId="42"/>
    <tableColumn id="3" xr3:uid="{4C7AFEC0-A658-4607-B32E-7AC5273A93E7}" name="Vendeur "/>
    <tableColumn id="4" xr3:uid="{5FFF9EA1-22B3-47F6-89C9-7DAA695E0A0F}" name="TYPE"/>
    <tableColumn id="15" xr3:uid="{A517BAFC-F9E5-4956-BA0F-15EEFE638E13}" name="Total HT" dataDxfId="41"/>
    <tableColumn id="10" xr3:uid="{C1705399-EB78-42E0-970B-BFE9936BCEAD}" name="EURO" dataDxfId="40"/>
    <tableColumn id="5" xr3:uid="{3E921CF7-8873-4EB5-B9B9-9E53CB904497}" name="TVA" dataDxfId="39">
      <calculatedColumnFormula>Tableau134678[[#This Row],[Total TTC]]-Tableau134678[[#This Row],[Total HT]]</calculatedColumnFormula>
    </tableColumn>
    <tableColumn id="16" xr3:uid="{165E699F-BC04-4CD1-82DA-C7F9EB5FCFEC}" name="Total TTC" dataDxfId="38"/>
    <tableColumn id="8" xr3:uid="{5CC4BF84-CE69-4DF5-A580-E8CED2C58792}" name="Taux_x000a_TVA_x000a_calculé3" dataDxfId="36">
      <calculatedColumnFormula>Tableau134678[[#This Row],[Total TTC]]/100*Tableau134678[[#This Row],[TVA]]</calculatedColumnFormula>
    </tableColumn>
    <tableColumn id="11" xr3:uid="{E4371C96-57AA-4D40-8D9B-244C785CDFCC}" name="Catégorie" dataDxfId="37"/>
    <tableColumn id="7" xr3:uid="{5026AD6C-B573-4C48-AA13-BB07EFDBB761}" name="Montant _x000a_Brut CHF" dataDxfId="35">
      <calculatedColumnFormula>Tableau134678[[#This Row],[Total TTC]]</calculatedColumnFormula>
    </tableColumn>
    <tableColumn id="9" xr3:uid="{EDBF8BCB-EC02-4C3A-B632-F21C21013EF8}" name="Montant _x000a_NET CHF" dataDxfId="34">
      <calculatedColumnFormula>Tableau134678[[#This Row],[Total HT]]</calculatedColumnFormula>
    </tableColumn>
    <tableColumn id="13" xr3:uid="{36C27367-152E-42C9-8F64-1228C7BFD854}" name="TVA_x000a_CHF" dataDxfId="32">
      <calculatedColumnFormula>Tableau134678[[#This Row],[TVA]]</calculatedColumnFormula>
    </tableColumn>
    <tableColumn id="14" xr3:uid="{906748FC-CB60-48FE-BDC9-AB481FA78042}" name="Taux_x000a_TVA" dataDxfId="33"/>
    <tableColumn id="17" xr3:uid="{AF535A9E-4475-4F9A-8CDC-82CFCDCEFC5E}" name="Dcpte _x000a_Mastercard" dataDxfId="30"/>
    <tableColumn id="18" xr3:uid="{83B5E2B9-A243-4E42-A2A2-0D3971D171C5}" name="Arrondi_x000a_Mastercard" dataDxfId="31">
      <calculatedColumnFormula>Tableau134678[[#This Row],[Dcpte 
Mastercard]]-Tableau134678[[#This Row],[Montant 
Brut CHF]]</calculatedColumnFormula>
    </tableColumn>
  </tableColumns>
  <tableStyleInfo name="Style de tableau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C018999-AAFA-4E90-AB9D-F21F2B89387F}" name="Tableau1346789" displayName="Tableau1346789" ref="A6:P25" totalsRowShown="0" headerRowDxfId="29" headerRowBorderDxfId="28">
  <autoFilter ref="A6:P25" xr:uid="{B4503361-CCEC-4772-9D81-98C1C65B940A}"/>
  <sortState xmlns:xlrd2="http://schemas.microsoft.com/office/spreadsheetml/2017/richdata2" ref="A7:P25">
    <sortCondition ref="O6:O25"/>
  </sortState>
  <tableColumns count="16">
    <tableColumn id="1" xr3:uid="{2E18628E-2053-4D3E-8F8E-78DA24C961EA}" name="N° " dataDxfId="27"/>
    <tableColumn id="2" xr3:uid="{70A68DDD-C40A-4917-B54A-DDC2B35A4948}" name="Date " dataDxfId="26"/>
    <tableColumn id="3" xr3:uid="{D3B7DB1B-C1FA-412A-B57A-CE4BD910E293}" name="Vendeur "/>
    <tableColumn id="4" xr3:uid="{FD41F946-C5ED-4E9B-A0DA-2BFE758A2558}" name="TYPE"/>
    <tableColumn id="15" xr3:uid="{7EBA103E-E26B-466A-B198-96A5308D77BD}" name="Total HT" dataDxfId="25"/>
    <tableColumn id="10" xr3:uid="{0C3BECDF-1529-46F9-B3EC-4E43A4E24ACF}" name="EURO" dataDxfId="24"/>
    <tableColumn id="5" xr3:uid="{CEA0B26C-C9E9-48C9-A52A-0B864683BF98}" name="TVA" dataDxfId="23">
      <calculatedColumnFormula>Tableau1346789[[#This Row],[Total TTC]]-Tableau1346789[[#This Row],[Total HT]]</calculatedColumnFormula>
    </tableColumn>
    <tableColumn id="16" xr3:uid="{BEB617C5-B5E3-400E-AC7D-A6F31EFC96E4}" name="Total TTC" dataDxfId="22"/>
    <tableColumn id="8" xr3:uid="{6A44B06C-B10B-471D-8A9D-8A3A2A4B2684}" name="Taux_x000a_TVA_x000a_calculé3" dataDxfId="21">
      <calculatedColumnFormula>Tableau1346789[[#This Row],[Total TTC]]/100*Tableau1346789[[#This Row],[TVA]]</calculatedColumnFormula>
    </tableColumn>
    <tableColumn id="11" xr3:uid="{7808ED67-7274-4FCC-A337-CAB65D69D6B4}" name="Catégorie" dataDxfId="20"/>
    <tableColumn id="7" xr3:uid="{E1392640-C9D6-468C-A215-4C91EE4F4CA0}" name="Montant _x000a_Brut CHF" dataDxfId="19">
      <calculatedColumnFormula>Tableau1346789[[#This Row],[Total TTC]]</calculatedColumnFormula>
    </tableColumn>
    <tableColumn id="9" xr3:uid="{DDE03B03-234E-49A8-998E-8C750BFAC21C}" name="Montant _x000a_NET CHF" dataDxfId="18">
      <calculatedColumnFormula>Tableau1346789[[#This Row],[Total HT]]</calculatedColumnFormula>
    </tableColumn>
    <tableColumn id="13" xr3:uid="{136C295B-8D74-4C64-990E-C5BDFCD5EC71}" name="TVA_x000a_CHF" dataDxfId="17">
      <calculatedColumnFormula>Tableau1346789[[#This Row],[TVA]]</calculatedColumnFormula>
    </tableColumn>
    <tableColumn id="14" xr3:uid="{F909C5B7-34D1-4571-8E4A-F2CCBCBC8F08}" name="Taux_x000a_TVA" dataDxfId="16"/>
    <tableColumn id="17" xr3:uid="{D1FF9539-CB5B-4733-BFB0-7F3F6C85704B}" name="Dcpte _x000a_Mastercard" dataDxfId="0"/>
    <tableColumn id="18" xr3:uid="{FDCFB5CE-4909-497A-935E-BFF33AA90DBD}" name="Arrondi_x000a_Mastercard" dataDxfId="1">
      <calculatedColumnFormula>Tableau1346789[[#This Row],[Dcpte 
Mastercard]]-Tableau1346789[[#This Row],[Montant 
Brut CHF]]</calculatedColumnFormula>
    </tableColumn>
  </tableColumns>
  <tableStyleInfo name="Style de tableau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A873E9-E9C0-4C06-A3E9-08CF60B10520}" name="Tableau13467810" displayName="Tableau13467810" ref="A7:N29" totalsRowShown="0" headerRowDxfId="15" headerRowBorderDxfId="14">
  <autoFilter ref="A7:N29" xr:uid="{B4503361-CCEC-4772-9D81-98C1C65B940A}"/>
  <tableColumns count="14">
    <tableColumn id="1" xr3:uid="{00183F01-67B2-49F6-86D1-0C725C742B5D}" name="N° " dataDxfId="13"/>
    <tableColumn id="2" xr3:uid="{DEF1B770-4E6E-4A5B-B538-DFD6982C9B57}" name="Date " dataDxfId="12"/>
    <tableColumn id="3" xr3:uid="{12ACC9E3-3927-421F-9A29-51C72BD24653}" name="Vendeur "/>
    <tableColumn id="4" xr3:uid="{C3D20EF9-647F-42CB-AC9B-EB311261C991}" name="TYPE"/>
    <tableColumn id="15" xr3:uid="{C441DA09-C2AE-44C5-8A9D-E236224E23BD}" name="Total HT" dataDxfId="11"/>
    <tableColumn id="10" xr3:uid="{9C1E785A-95E5-40A5-980E-342525CFC16C}" name="EURO" dataDxfId="10"/>
    <tableColumn id="5" xr3:uid="{7C7D826E-738A-46AC-B5CA-FBF7EEE89E26}" name="TVA" dataDxfId="9">
      <calculatedColumnFormula>Tableau13467810[[#This Row],[Total TTC]]-Tableau13467810[[#This Row],[Total HT]]</calculatedColumnFormula>
    </tableColumn>
    <tableColumn id="16" xr3:uid="{10E8642E-8DCE-4B72-9EBF-C887A1F9DB25}" name="Total TTC" dataDxfId="8"/>
    <tableColumn id="8" xr3:uid="{9E30EF30-9825-4C2F-8B22-0BF828AB05A8}" name="Taux_x000a_TVA_x000a_calculé3" dataDxfId="7">
      <calculatedColumnFormula>Tableau13467810[[#This Row],[Total TTC]]/100*Tableau13467810[[#This Row],[TVA]]</calculatedColumnFormula>
    </tableColumn>
    <tableColumn id="11" xr3:uid="{4672D41C-2D1F-4C5F-A279-E7DBC874D4E3}" name="Catégorie" dataDxfId="6"/>
    <tableColumn id="7" xr3:uid="{64D02A83-A309-435D-BC06-3B867DA1DA5F}" name="Montant _x000a_Brut CHF" dataDxfId="5">
      <calculatedColumnFormula>Tableau13467810[[#This Row],[Total TTC]]</calculatedColumnFormula>
    </tableColumn>
    <tableColumn id="9" xr3:uid="{96F3FDF3-79B2-4A6B-A2FF-2C34EB3742B7}" name="Montant _x000a_NET CHF" dataDxfId="4">
      <calculatedColumnFormula>Tableau13467810[[#This Row],[Total HT]]</calculatedColumnFormula>
    </tableColumn>
    <tableColumn id="13" xr3:uid="{DE766E55-AAB7-4FFF-8D88-BF316B22EA5A}" name="TVA_x000a_CHF" dataDxfId="3">
      <calculatedColumnFormula>Tableau13467810[[#This Row],[TVA]]</calculatedColumnFormula>
    </tableColumn>
    <tableColumn id="14" xr3:uid="{3490CF94-E0AF-4576-999B-2141EBA778B6}" name="Taux_x000a_TVA" dataDxfId="2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D467-E73A-45F6-806D-6F82D84E234A}">
  <dimension ref="A1:G48"/>
  <sheetViews>
    <sheetView view="pageLayout" topLeftCell="A19" zoomScaleNormal="100" workbookViewId="0">
      <selection activeCell="B32" sqref="B32:D46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4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66</v>
      </c>
      <c r="B1" s="1"/>
      <c r="D1" s="2"/>
      <c r="E1" s="3"/>
      <c r="F1" s="4">
        <v>45474</v>
      </c>
    </row>
    <row r="2" spans="1:7" ht="18.75" x14ac:dyDescent="0.3">
      <c r="A2" s="34" t="s">
        <v>65</v>
      </c>
      <c r="B2" s="1"/>
      <c r="D2" s="2"/>
      <c r="E2" s="6"/>
      <c r="F2" s="7"/>
    </row>
    <row r="4" spans="1:7" ht="30" x14ac:dyDescent="0.25">
      <c r="A4" s="8" t="s">
        <v>0</v>
      </c>
      <c r="B4" s="8" t="s">
        <v>1</v>
      </c>
      <c r="C4" s="46" t="s">
        <v>2</v>
      </c>
      <c r="D4" s="9" t="s">
        <v>3</v>
      </c>
      <c r="E4" s="10" t="s">
        <v>4</v>
      </c>
      <c r="F4" s="9" t="s">
        <v>5</v>
      </c>
      <c r="G4" s="11"/>
    </row>
    <row r="5" spans="1:7" x14ac:dyDescent="0.25">
      <c r="A5" s="12"/>
      <c r="B5" s="13"/>
      <c r="C5" s="14"/>
      <c r="D5" s="15"/>
      <c r="E5" s="47"/>
      <c r="F5" s="15"/>
    </row>
    <row r="6" spans="1:7" x14ac:dyDescent="0.25">
      <c r="A6" s="12"/>
      <c r="B6" s="13"/>
      <c r="C6" s="14"/>
      <c r="D6" s="15"/>
      <c r="E6" s="47"/>
      <c r="F6" s="15"/>
    </row>
    <row r="7" spans="1:7" x14ac:dyDescent="0.25">
      <c r="A7" s="12"/>
      <c r="B7" s="13"/>
      <c r="C7" s="14"/>
      <c r="D7" s="15"/>
      <c r="E7" s="47"/>
      <c r="F7" s="15"/>
    </row>
    <row r="8" spans="1:7" x14ac:dyDescent="0.25">
      <c r="A8" s="12"/>
      <c r="B8" s="13"/>
      <c r="C8" s="14"/>
      <c r="D8" s="15"/>
      <c r="E8" s="47"/>
      <c r="F8" s="15"/>
    </row>
    <row r="9" spans="1:7" x14ac:dyDescent="0.25">
      <c r="A9" s="12"/>
      <c r="B9" s="13"/>
      <c r="C9" s="14"/>
      <c r="D9" s="15"/>
      <c r="E9" s="47"/>
      <c r="F9" s="15"/>
    </row>
    <row r="10" spans="1:7" x14ac:dyDescent="0.25">
      <c r="A10" s="12"/>
      <c r="B10" s="13"/>
      <c r="C10" s="14"/>
      <c r="D10" s="15"/>
      <c r="E10" s="47"/>
      <c r="F10" s="15"/>
    </row>
    <row r="11" spans="1:7" x14ac:dyDescent="0.25">
      <c r="A11" s="12"/>
      <c r="B11" s="13"/>
      <c r="C11" s="14"/>
      <c r="D11" s="15"/>
      <c r="E11" s="47"/>
      <c r="F11" s="15"/>
    </row>
    <row r="12" spans="1:7" x14ac:dyDescent="0.25">
      <c r="A12" s="12"/>
      <c r="B12" s="13"/>
      <c r="C12" s="14"/>
      <c r="D12" s="15"/>
      <c r="E12" s="47"/>
      <c r="F12" s="15"/>
    </row>
    <row r="13" spans="1:7" x14ac:dyDescent="0.25">
      <c r="A13" s="12"/>
      <c r="B13" s="13"/>
      <c r="C13" s="14"/>
      <c r="D13" s="15"/>
      <c r="E13" s="47"/>
      <c r="F13" s="15"/>
    </row>
    <row r="14" spans="1:7" x14ac:dyDescent="0.25">
      <c r="A14" s="12"/>
      <c r="B14" s="13"/>
      <c r="C14" s="14"/>
      <c r="D14" s="15"/>
      <c r="E14" s="47"/>
      <c r="F14" s="15"/>
    </row>
    <row r="15" spans="1:7" x14ac:dyDescent="0.25">
      <c r="A15" s="12"/>
      <c r="B15" s="13"/>
      <c r="C15" s="14"/>
      <c r="D15" s="15"/>
      <c r="E15" s="47"/>
      <c r="F15" s="15"/>
    </row>
    <row r="16" spans="1:7" x14ac:dyDescent="0.25">
      <c r="A16" s="12"/>
      <c r="B16" s="13"/>
      <c r="C16" s="14"/>
      <c r="D16" s="15"/>
      <c r="E16" s="47"/>
      <c r="F16" s="15"/>
    </row>
    <row r="17" spans="1:6" x14ac:dyDescent="0.25">
      <c r="A17" s="12"/>
      <c r="B17" s="13"/>
      <c r="C17" s="14"/>
      <c r="D17" s="15"/>
      <c r="E17" s="47"/>
      <c r="F17" s="15"/>
    </row>
    <row r="18" spans="1:6" x14ac:dyDescent="0.25">
      <c r="A18" s="12"/>
      <c r="B18" s="17"/>
      <c r="C18" s="14"/>
      <c r="D18" s="15"/>
      <c r="E18" s="47"/>
      <c r="F18" s="15"/>
    </row>
    <row r="19" spans="1:6" s="5" customFormat="1" x14ac:dyDescent="0.25">
      <c r="A19" s="12"/>
      <c r="B19" s="17"/>
      <c r="C19" s="14"/>
      <c r="D19" s="15"/>
      <c r="E19" s="47"/>
      <c r="F19" s="15"/>
    </row>
    <row r="20" spans="1:6" s="5" customFormat="1" x14ac:dyDescent="0.25">
      <c r="A20" s="18"/>
      <c r="B20" s="13"/>
      <c r="C20" s="14"/>
      <c r="D20" s="15"/>
      <c r="E20" s="16"/>
      <c r="F20" s="15"/>
    </row>
    <row r="21" spans="1:6" s="5" customFormat="1" x14ac:dyDescent="0.25">
      <c r="A21" s="18"/>
      <c r="B21" s="13"/>
      <c r="C21" s="14"/>
      <c r="D21" s="15"/>
      <c r="E21" s="16"/>
      <c r="F21" s="15"/>
    </row>
    <row r="22" spans="1:6" s="5" customFormat="1" x14ac:dyDescent="0.25">
      <c r="A22" s="18"/>
      <c r="B22" s="13"/>
      <c r="C22" s="14"/>
      <c r="D22" s="15"/>
      <c r="E22" s="16"/>
      <c r="F22" s="15"/>
    </row>
    <row r="23" spans="1:6" s="5" customFormat="1" x14ac:dyDescent="0.25">
      <c r="A23" s="18"/>
      <c r="B23" s="13"/>
      <c r="C23" s="14"/>
      <c r="D23" s="15"/>
      <c r="E23" s="16"/>
      <c r="F23" s="15"/>
    </row>
    <row r="24" spans="1:6" s="5" customFormat="1" x14ac:dyDescent="0.25">
      <c r="A24" s="18"/>
      <c r="B24" s="18"/>
      <c r="C24" s="14"/>
      <c r="D24" s="15"/>
      <c r="E24" s="16"/>
      <c r="F24" s="15"/>
    </row>
    <row r="25" spans="1:6" s="5" customFormat="1" x14ac:dyDescent="0.25">
      <c r="A25" s="18"/>
      <c r="B25" s="13"/>
      <c r="C25" s="14"/>
      <c r="D25" s="15"/>
      <c r="E25" s="16"/>
      <c r="F25" s="15"/>
    </row>
    <row r="26" spans="1:6" s="5" customFormat="1" x14ac:dyDescent="0.25">
      <c r="A26" s="18"/>
      <c r="B26" s="13"/>
      <c r="C26" s="14"/>
      <c r="D26" s="15"/>
      <c r="E26" s="16"/>
      <c r="F26" s="15"/>
    </row>
    <row r="27" spans="1:6" s="5" customFormat="1" x14ac:dyDescent="0.25">
      <c r="A27" s="18"/>
      <c r="B27" s="18"/>
      <c r="C27" s="14"/>
      <c r="D27" s="15"/>
      <c r="E27" s="16"/>
      <c r="F27" s="15"/>
    </row>
    <row r="28" spans="1:6" s="5" customFormat="1" x14ac:dyDescent="0.25">
      <c r="A28" s="18"/>
      <c r="B28" s="13"/>
      <c r="C28" s="14"/>
      <c r="D28" s="15"/>
      <c r="E28" s="16"/>
      <c r="F28" s="15"/>
    </row>
    <row r="29" spans="1:6" s="5" customFormat="1" ht="14.25" customHeight="1" x14ac:dyDescent="0.25">
      <c r="A29" s="18"/>
      <c r="B29" s="13"/>
      <c r="C29" s="14"/>
      <c r="D29" s="15"/>
      <c r="E29" s="16"/>
      <c r="F29" s="15"/>
    </row>
    <row r="30" spans="1:6" s="5" customFormat="1" x14ac:dyDescent="0.25">
      <c r="A30" s="19"/>
      <c r="B30" s="20" t="s">
        <v>7</v>
      </c>
      <c r="C30" s="21">
        <f>SUM(C5:C29)</f>
        <v>0</v>
      </c>
      <c r="D30" s="22">
        <f>SUM(D5:D29)</f>
        <v>0</v>
      </c>
      <c r="E30" s="23"/>
      <c r="F30" s="22">
        <f>SUM(F5:F29)</f>
        <v>0</v>
      </c>
    </row>
    <row r="31" spans="1:6" s="5" customFormat="1" x14ac:dyDescent="0.25">
      <c r="A31"/>
      <c r="B31"/>
      <c r="C31"/>
      <c r="E31" s="24"/>
    </row>
    <row r="32" spans="1:6" s="5" customFormat="1" x14ac:dyDescent="0.25">
      <c r="B32" s="25" t="s">
        <v>8</v>
      </c>
      <c r="C32" s="26"/>
      <c r="D32" s="27">
        <f>SUMIF(B5:B29,B32,D5:D29)</f>
        <v>0</v>
      </c>
      <c r="E32" s="24"/>
      <c r="F32" s="28"/>
    </row>
    <row r="33" spans="1:6" s="5" customFormat="1" x14ac:dyDescent="0.25">
      <c r="B33" s="25" t="s">
        <v>60</v>
      </c>
      <c r="C33" s="26"/>
      <c r="D33" s="27">
        <f>SUMIF(B5:B29,B33,D5:D29)</f>
        <v>0</v>
      </c>
      <c r="E33" s="24"/>
      <c r="F33" s="28"/>
    </row>
    <row r="34" spans="1:6" s="5" customFormat="1" x14ac:dyDescent="0.25">
      <c r="B34" s="29" t="s">
        <v>6</v>
      </c>
      <c r="C34" s="26"/>
      <c r="D34" s="27">
        <f>SUMIF(B5:B29,B34,D5:D29)</f>
        <v>0</v>
      </c>
      <c r="E34" s="24"/>
      <c r="F34" s="28"/>
    </row>
    <row r="35" spans="1:6" s="5" customFormat="1" ht="15.75" customHeight="1" x14ac:dyDescent="0.25">
      <c r="B35" s="29" t="s">
        <v>9</v>
      </c>
      <c r="C35" s="26"/>
      <c r="D35" s="27">
        <f>SUMIF(B5:B29,B35,D5:D29)</f>
        <v>0</v>
      </c>
      <c r="E35" s="24"/>
      <c r="F35" s="28"/>
    </row>
    <row r="36" spans="1:6" s="5" customFormat="1" ht="15.75" customHeight="1" x14ac:dyDescent="0.25">
      <c r="B36" s="29" t="s">
        <v>10</v>
      </c>
      <c r="C36" s="26"/>
      <c r="D36" s="27">
        <f>SUMIF(B5:B30,B36,D5:D30)</f>
        <v>0</v>
      </c>
      <c r="E36" s="24"/>
      <c r="F36" s="28"/>
    </row>
    <row r="37" spans="1:6" s="5" customFormat="1" ht="15.75" customHeight="1" x14ac:dyDescent="0.25">
      <c r="B37" s="29" t="s">
        <v>11</v>
      </c>
      <c r="C37" s="26"/>
      <c r="D37" s="27">
        <f>SUMIF(B5:B29,B37,D5:D29)</f>
        <v>0</v>
      </c>
      <c r="E37" s="24"/>
      <c r="F37" s="28"/>
    </row>
    <row r="38" spans="1:6" s="5" customFormat="1" ht="15.75" customHeight="1" x14ac:dyDescent="0.25">
      <c r="B38" s="29" t="s">
        <v>12</v>
      </c>
      <c r="C38" s="26"/>
      <c r="D38" s="27">
        <f>SUMIF(B4:B28,B38,D4:D28)</f>
        <v>0</v>
      </c>
      <c r="E38" s="24"/>
      <c r="F38" s="28"/>
    </row>
    <row r="39" spans="1:6" s="5" customFormat="1" x14ac:dyDescent="0.25">
      <c r="B39" s="29" t="s">
        <v>13</v>
      </c>
      <c r="C39" s="26"/>
      <c r="D39" s="27">
        <f>SUMIF(B5:B29,B39,D5:D29)</f>
        <v>0</v>
      </c>
      <c r="E39" s="24"/>
      <c r="F39" s="28"/>
    </row>
    <row r="40" spans="1:6" s="5" customFormat="1" x14ac:dyDescent="0.25">
      <c r="B40" s="29" t="s">
        <v>14</v>
      </c>
      <c r="C40" s="26"/>
      <c r="D40" s="27">
        <f>SUMIF(B5:B30,B40,D5:D30)</f>
        <v>0</v>
      </c>
      <c r="E40" s="24"/>
      <c r="F40" s="28"/>
    </row>
    <row r="41" spans="1:6" s="5" customFormat="1" x14ac:dyDescent="0.25">
      <c r="B41" s="29" t="s">
        <v>67</v>
      </c>
      <c r="C41"/>
      <c r="D41" s="27">
        <f>SUMIF(B5:B29,B41,D5:D29)</f>
        <v>0</v>
      </c>
      <c r="E41" s="24"/>
    </row>
    <row r="42" spans="1:6" s="5" customFormat="1" x14ac:dyDescent="0.25">
      <c r="B42" s="29" t="s">
        <v>15</v>
      </c>
      <c r="C42" s="30"/>
      <c r="D42" s="27">
        <f>SUMIF(B5:B29,B42,D5:D29)</f>
        <v>0</v>
      </c>
      <c r="E42" s="24"/>
    </row>
    <row r="43" spans="1:6" s="5" customFormat="1" hidden="1" x14ac:dyDescent="0.25">
      <c r="B43" s="29" t="s">
        <v>16</v>
      </c>
      <c r="C43" s="30"/>
      <c r="D43" s="27">
        <f>SUMIF(B5:B30,B43,D5:D30)</f>
        <v>0</v>
      </c>
      <c r="E43" s="24"/>
    </row>
    <row r="44" spans="1:6" s="5" customFormat="1" hidden="1" x14ac:dyDescent="0.25">
      <c r="B44" s="29" t="s">
        <v>17</v>
      </c>
      <c r="D44" s="27">
        <f>SUMIF(B5:B29,B44,D5:D29)</f>
        <v>0</v>
      </c>
      <c r="E44" s="24"/>
    </row>
    <row r="45" spans="1:6" s="5" customFormat="1" x14ac:dyDescent="0.25">
      <c r="B45" s="29" t="s">
        <v>18</v>
      </c>
      <c r="D45" s="27">
        <f>SUMIF(B5:B29,B45,D5:D29)</f>
        <v>0</v>
      </c>
      <c r="E45" s="24"/>
    </row>
    <row r="46" spans="1:6" s="5" customFormat="1" x14ac:dyDescent="0.25">
      <c r="B46" s="31" t="s">
        <v>7</v>
      </c>
      <c r="C46" s="32"/>
      <c r="D46" s="33">
        <f>SUM(D32:D45)</f>
        <v>0</v>
      </c>
      <c r="E46" s="24"/>
    </row>
    <row r="48" spans="1:6" s="5" customFormat="1" x14ac:dyDescent="0.25">
      <c r="A48" s="29"/>
      <c r="B48" s="27"/>
      <c r="C48"/>
      <c r="E48" s="24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5D53-E564-413D-9C4F-287F53A91FD8}">
  <sheetPr>
    <pageSetUpPr fitToPage="1"/>
  </sheetPr>
  <dimension ref="A1:N49"/>
  <sheetViews>
    <sheetView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B4" sqref="B4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41.85546875" customWidth="1"/>
    <col min="4" max="4" width="15" hidden="1" customWidth="1" outlineLevel="1"/>
    <col min="5" max="5" width="11" style="82" hidden="1" customWidth="1" outlineLevel="1"/>
    <col min="6" max="6" width="7.5703125" style="75" hidden="1" customWidth="1" outlineLevel="1"/>
    <col min="7" max="7" width="10" hidden="1" customWidth="1" outlineLevel="1"/>
    <col min="8" max="8" width="12.42578125" style="129" hidden="1" customWidth="1" outlineLevel="1"/>
    <col min="9" max="9" width="8.28515625" style="97" hidden="1" customWidth="1" outlineLevel="1"/>
    <col min="10" max="10" width="21.7109375" style="93" customWidth="1" collapsed="1"/>
    <col min="11" max="11" width="14.140625" style="34" customWidth="1"/>
    <col min="12" max="12" width="12.28515625" customWidth="1"/>
    <col min="13" max="13" width="11.42578125" style="49" customWidth="1"/>
    <col min="14" max="14" width="9.85546875" style="61" hidden="1" customWidth="1"/>
  </cols>
  <sheetData>
    <row r="1" spans="1:14" x14ac:dyDescent="0.25">
      <c r="A1" s="25" t="s">
        <v>21</v>
      </c>
    </row>
    <row r="2" spans="1:14" s="34" customFormat="1" x14ac:dyDescent="0.25">
      <c r="A2" s="35" t="s">
        <v>164</v>
      </c>
      <c r="B2" s="35"/>
      <c r="F2" s="148"/>
      <c r="H2" s="129"/>
      <c r="I2" s="150"/>
      <c r="J2" s="129"/>
      <c r="M2" s="142"/>
      <c r="N2" s="151"/>
    </row>
    <row r="3" spans="1:14" x14ac:dyDescent="0.25">
      <c r="A3" s="25" t="s">
        <v>115</v>
      </c>
      <c r="C3" s="106">
        <f>2.5+10.67</f>
        <v>13.17</v>
      </c>
    </row>
    <row r="4" spans="1:14" x14ac:dyDescent="0.25">
      <c r="A4" s="25" t="s">
        <v>159</v>
      </c>
      <c r="C4" s="106">
        <v>507.32</v>
      </c>
    </row>
    <row r="5" spans="1:14" x14ac:dyDescent="0.25">
      <c r="C5" s="106"/>
    </row>
    <row r="6" spans="1:14" x14ac:dyDescent="0.25">
      <c r="C6" s="106"/>
    </row>
    <row r="7" spans="1:14" s="34" customFormat="1" ht="36.75" x14ac:dyDescent="0.25">
      <c r="A7" s="65" t="s">
        <v>23</v>
      </c>
      <c r="B7" s="65" t="s">
        <v>24</v>
      </c>
      <c r="C7" s="66" t="s">
        <v>25</v>
      </c>
      <c r="D7" s="67" t="s">
        <v>75</v>
      </c>
      <c r="E7" s="68" t="s">
        <v>26</v>
      </c>
      <c r="F7" s="123" t="s">
        <v>153</v>
      </c>
      <c r="G7" s="68" t="s">
        <v>95</v>
      </c>
      <c r="H7" s="130" t="s">
        <v>86</v>
      </c>
      <c r="I7" s="98" t="s">
        <v>94</v>
      </c>
      <c r="J7" s="133" t="s">
        <v>73</v>
      </c>
      <c r="K7" s="72" t="s">
        <v>161</v>
      </c>
      <c r="L7" s="72" t="s">
        <v>162</v>
      </c>
      <c r="M7" s="143" t="s">
        <v>116</v>
      </c>
      <c r="N7" s="81" t="s">
        <v>59</v>
      </c>
    </row>
    <row r="8" spans="1:14" s="34" customFormat="1" x14ac:dyDescent="0.25">
      <c r="A8" s="111"/>
      <c r="B8" s="118">
        <v>45566</v>
      </c>
      <c r="C8" s="120" t="s">
        <v>124</v>
      </c>
      <c r="D8" s="121" t="s">
        <v>29</v>
      </c>
      <c r="E8" s="115">
        <v>18.41</v>
      </c>
      <c r="F8" s="124"/>
      <c r="G8" s="116">
        <f>Tableau13467810[[#This Row],[Total TTC]]-Tableau13467810[[#This Row],[Total HT]]</f>
        <v>1.4899999999999984</v>
      </c>
      <c r="H8" s="131">
        <v>19.899999999999999</v>
      </c>
      <c r="I8" s="136">
        <f>Tableau13467810[[#This Row],[Total TTC]]/100*Tableau13467810[[#This Row],[TVA]]</f>
        <v>0.29650999999999966</v>
      </c>
      <c r="J8" s="131" t="s">
        <v>159</v>
      </c>
      <c r="K8" s="112">
        <f>Tableau13467810[[#This Row],[Total TTC]]</f>
        <v>19.899999999999999</v>
      </c>
      <c r="L8" s="113">
        <f>Tableau13467810[[#This Row],[Total HT]]</f>
        <v>18.41</v>
      </c>
      <c r="M8" s="144">
        <f>Tableau13467810[[#This Row],[TVA]]</f>
        <v>1.4899999999999984</v>
      </c>
      <c r="N8" s="114"/>
    </row>
    <row r="9" spans="1:14" s="34" customFormat="1" x14ac:dyDescent="0.25">
      <c r="A9" s="111"/>
      <c r="B9" s="118">
        <v>45566</v>
      </c>
      <c r="C9" s="120" t="s">
        <v>124</v>
      </c>
      <c r="D9" s="121" t="s">
        <v>29</v>
      </c>
      <c r="E9" s="115">
        <v>20.260000000000002</v>
      </c>
      <c r="F9" s="124"/>
      <c r="G9" s="116">
        <f>Tableau13467810[[#This Row],[Total TTC]]-Tableau13467810[[#This Row],[Total HT]]</f>
        <v>1.639999999999997</v>
      </c>
      <c r="H9" s="131">
        <v>21.9</v>
      </c>
      <c r="I9" s="136">
        <f>Tableau13467810[[#This Row],[Total TTC]]/100*Tableau13467810[[#This Row],[TVA]]</f>
        <v>0.35915999999999931</v>
      </c>
      <c r="J9" s="131" t="s">
        <v>159</v>
      </c>
      <c r="K9" s="112">
        <f>Tableau13467810[[#This Row],[Total TTC]]</f>
        <v>21.9</v>
      </c>
      <c r="L9" s="113">
        <f>Tableau13467810[[#This Row],[Total HT]]</f>
        <v>20.260000000000002</v>
      </c>
      <c r="M9" s="144">
        <f>Tableau13467810[[#This Row],[TVA]]</f>
        <v>1.639999999999997</v>
      </c>
      <c r="N9" s="114"/>
    </row>
    <row r="10" spans="1:14" s="34" customFormat="1" x14ac:dyDescent="0.25">
      <c r="A10" s="111"/>
      <c r="B10" s="118">
        <v>45566</v>
      </c>
      <c r="C10" s="120" t="s">
        <v>125</v>
      </c>
      <c r="D10" s="121" t="s">
        <v>20</v>
      </c>
      <c r="E10" s="115">
        <v>51.8</v>
      </c>
      <c r="F10" s="124"/>
      <c r="G10" s="116">
        <f>Tableau13467810[[#This Row],[Total TTC]]-Tableau13467810[[#This Row],[Total HT]]</f>
        <v>4.2000000000000028</v>
      </c>
      <c r="H10" s="131">
        <v>56</v>
      </c>
      <c r="I10" s="136">
        <f>Tableau13467810[[#This Row],[Total TTC]]/100*Tableau13467810[[#This Row],[TVA]]</f>
        <v>2.3520000000000016</v>
      </c>
      <c r="J10" s="131" t="s">
        <v>159</v>
      </c>
      <c r="K10" s="112">
        <f>Tableau13467810[[#This Row],[Total TTC]]</f>
        <v>56</v>
      </c>
      <c r="L10" s="113">
        <f>Tableau13467810[[#This Row],[Total HT]]</f>
        <v>51.8</v>
      </c>
      <c r="M10" s="144">
        <f>Tableau13467810[[#This Row],[TVA]]</f>
        <v>4.2000000000000028</v>
      </c>
      <c r="N10" s="114"/>
    </row>
    <row r="11" spans="1:14" s="34" customFormat="1" x14ac:dyDescent="0.25">
      <c r="A11" s="111"/>
      <c r="B11" s="118">
        <v>45566</v>
      </c>
      <c r="C11" s="120" t="s">
        <v>126</v>
      </c>
      <c r="D11" s="121" t="s">
        <v>19</v>
      </c>
      <c r="E11" s="115">
        <v>2.31</v>
      </c>
      <c r="F11" s="124"/>
      <c r="G11" s="116">
        <f>Tableau13467810[[#This Row],[Total TTC]]-Tableau13467810[[#This Row],[Total HT]]</f>
        <v>0.18999999999999995</v>
      </c>
      <c r="H11" s="131">
        <v>2.5</v>
      </c>
      <c r="I11" s="136">
        <f>Tableau13467810[[#This Row],[Total TTC]]/100*Tableau13467810[[#This Row],[TVA]]</f>
        <v>4.749999999999999E-3</v>
      </c>
      <c r="J11" s="124" t="s">
        <v>15</v>
      </c>
      <c r="K11" s="112">
        <f>Tableau13467810[[#This Row],[Total TTC]]</f>
        <v>2.5</v>
      </c>
      <c r="L11" s="113">
        <f>Tableau13467810[[#This Row],[Total HT]]</f>
        <v>2.31</v>
      </c>
      <c r="M11" s="144">
        <f>Tableau13467810[[#This Row],[TVA]]</f>
        <v>0.18999999999999995</v>
      </c>
      <c r="N11" s="114"/>
    </row>
    <row r="12" spans="1:14" s="34" customFormat="1" x14ac:dyDescent="0.25">
      <c r="A12" s="111"/>
      <c r="B12" s="118">
        <v>45569</v>
      </c>
      <c r="C12" s="120" t="s">
        <v>127</v>
      </c>
      <c r="D12" s="121" t="s">
        <v>29</v>
      </c>
      <c r="E12" s="115">
        <v>2.31</v>
      </c>
      <c r="F12" s="124"/>
      <c r="G12" s="116">
        <f>Tableau13467810[[#This Row],[Total TTC]]-Tableau13467810[[#This Row],[Total HT]]</f>
        <v>0.18999999999999995</v>
      </c>
      <c r="H12" s="131">
        <v>2.5</v>
      </c>
      <c r="I12" s="136">
        <f>Tableau13467810[[#This Row],[Total TTC]]/100*Tableau13467810[[#This Row],[TVA]]</f>
        <v>4.749999999999999E-3</v>
      </c>
      <c r="J12" s="131" t="s">
        <v>159</v>
      </c>
      <c r="K12" s="112">
        <f>Tableau13467810[[#This Row],[Total TTC]]</f>
        <v>2.5</v>
      </c>
      <c r="L12" s="113">
        <f>Tableau13467810[[#This Row],[Total HT]]</f>
        <v>2.31</v>
      </c>
      <c r="M12" s="144">
        <f>Tableau13467810[[#This Row],[TVA]]</f>
        <v>0.18999999999999995</v>
      </c>
      <c r="N12" s="114"/>
    </row>
    <row r="13" spans="1:14" s="34" customFormat="1" x14ac:dyDescent="0.25">
      <c r="A13" s="111"/>
      <c r="B13" s="118">
        <v>45573</v>
      </c>
      <c r="C13" s="120" t="s">
        <v>128</v>
      </c>
      <c r="D13" s="121" t="s">
        <v>20</v>
      </c>
      <c r="E13" s="115">
        <v>21.18</v>
      </c>
      <c r="F13" s="124"/>
      <c r="G13" s="116">
        <f>Tableau13467810[[#This Row],[Total TTC]]-Tableau13467810[[#This Row],[Total HT]]</f>
        <v>1.7199999999999989</v>
      </c>
      <c r="H13" s="131">
        <v>22.9</v>
      </c>
      <c r="I13" s="136">
        <f>Tableau13467810[[#This Row],[Total TTC]]/100*Tableau13467810[[#This Row],[TVA]]</f>
        <v>0.39387999999999973</v>
      </c>
      <c r="J13" s="131" t="s">
        <v>159</v>
      </c>
      <c r="K13" s="112">
        <f>Tableau13467810[[#This Row],[Total TTC]]</f>
        <v>22.9</v>
      </c>
      <c r="L13" s="113">
        <f>Tableau13467810[[#This Row],[Total HT]]</f>
        <v>21.18</v>
      </c>
      <c r="M13" s="144">
        <f>Tableau13467810[[#This Row],[TVA]]</f>
        <v>1.7199999999999989</v>
      </c>
      <c r="N13" s="114"/>
    </row>
    <row r="14" spans="1:14" s="34" customFormat="1" x14ac:dyDescent="0.25">
      <c r="A14" s="111"/>
      <c r="B14" s="118">
        <v>45576</v>
      </c>
      <c r="C14" s="120" t="s">
        <v>129</v>
      </c>
      <c r="D14" s="121" t="s">
        <v>19</v>
      </c>
      <c r="E14" s="115">
        <v>0.3</v>
      </c>
      <c r="F14" s="124"/>
      <c r="G14" s="116">
        <f>Tableau13467810[[#This Row],[Total TTC]]-Tableau13467810[[#This Row],[Total HT]]</f>
        <v>0</v>
      </c>
      <c r="H14" s="131">
        <v>0.3</v>
      </c>
      <c r="I14" s="136">
        <f>Tableau13467810[[#This Row],[Total TTC]]/100*Tableau13467810[[#This Row],[TVA]]</f>
        <v>0</v>
      </c>
      <c r="J14" s="131" t="s">
        <v>159</v>
      </c>
      <c r="K14" s="112">
        <f>Tableau13467810[[#This Row],[Total TTC]]</f>
        <v>0.3</v>
      </c>
      <c r="L14" s="113">
        <f>Tableau13467810[[#This Row],[Total HT]]</f>
        <v>0.3</v>
      </c>
      <c r="M14" s="144">
        <f>Tableau13467810[[#This Row],[TVA]]</f>
        <v>0</v>
      </c>
      <c r="N14" s="114"/>
    </row>
    <row r="15" spans="1:14" s="34" customFormat="1" x14ac:dyDescent="0.25">
      <c r="A15" s="111"/>
      <c r="B15" s="118">
        <v>45579</v>
      </c>
      <c r="C15" s="120" t="s">
        <v>131</v>
      </c>
      <c r="D15" s="121" t="s">
        <v>19</v>
      </c>
      <c r="E15" s="115">
        <v>17.53</v>
      </c>
      <c r="F15" s="124"/>
      <c r="G15" s="116">
        <f>Tableau13467810[[#This Row],[Total TTC]]-Tableau13467810[[#This Row],[Total HT]]</f>
        <v>1.4199999999999982</v>
      </c>
      <c r="H15" s="131">
        <v>18.95</v>
      </c>
      <c r="I15" s="136">
        <f>Tableau13467810[[#This Row],[Total TTC]]/100*Tableau13467810[[#This Row],[TVA]]</f>
        <v>0.26908999999999966</v>
      </c>
      <c r="J15" s="131" t="s">
        <v>159</v>
      </c>
      <c r="K15" s="112">
        <f>Tableau13467810[[#This Row],[Total TTC]]</f>
        <v>18.95</v>
      </c>
      <c r="L15" s="113">
        <f>Tableau13467810[[#This Row],[Total HT]]</f>
        <v>17.53</v>
      </c>
      <c r="M15" s="144">
        <f>Tableau13467810[[#This Row],[TVA]]</f>
        <v>1.4199999999999982</v>
      </c>
      <c r="N15" s="114"/>
    </row>
    <row r="16" spans="1:14" s="34" customFormat="1" x14ac:dyDescent="0.25">
      <c r="A16" s="111"/>
      <c r="B16" s="118">
        <v>45580</v>
      </c>
      <c r="C16" s="120" t="s">
        <v>52</v>
      </c>
      <c r="D16" s="121" t="s">
        <v>19</v>
      </c>
      <c r="E16" s="115">
        <v>12.95</v>
      </c>
      <c r="F16" s="124"/>
      <c r="G16" s="116">
        <f>Tableau13467810[[#This Row],[Total TTC]]-Tableau13467810[[#This Row],[Total HT]]</f>
        <v>1.0500000000000007</v>
      </c>
      <c r="H16" s="131">
        <v>14</v>
      </c>
      <c r="I16" s="136">
        <f>Tableau13467810[[#This Row],[Total TTC]]/100*Tableau13467810[[#This Row],[TVA]]</f>
        <v>0.1470000000000001</v>
      </c>
      <c r="J16" s="131" t="s">
        <v>159</v>
      </c>
      <c r="K16" s="112">
        <f>Tableau13467810[[#This Row],[Total TTC]]</f>
        <v>14</v>
      </c>
      <c r="L16" s="113">
        <f>Tableau13467810[[#This Row],[Total HT]]</f>
        <v>12.95</v>
      </c>
      <c r="M16" s="144">
        <f>Tableau13467810[[#This Row],[TVA]]</f>
        <v>1.0500000000000007</v>
      </c>
      <c r="N16" s="114"/>
    </row>
    <row r="17" spans="1:14" s="34" customFormat="1" x14ac:dyDescent="0.25">
      <c r="A17" s="111"/>
      <c r="B17" s="118">
        <v>45583</v>
      </c>
      <c r="C17" s="120" t="s">
        <v>135</v>
      </c>
      <c r="D17" s="121" t="s">
        <v>20</v>
      </c>
      <c r="E17" s="115">
        <v>16.37</v>
      </c>
      <c r="F17" s="124"/>
      <c r="G17" s="116">
        <f>Tableau13467810[[#This Row],[Total TTC]]-Tableau13467810[[#This Row],[Total HT]]</f>
        <v>0.42999999999999972</v>
      </c>
      <c r="H17" s="131">
        <v>16.8</v>
      </c>
      <c r="I17" s="136">
        <f>Tableau13467810[[#This Row],[Total TTC]]/100*Tableau13467810[[#This Row],[TVA]]</f>
        <v>7.2239999999999957E-2</v>
      </c>
      <c r="J17" s="131" t="s">
        <v>159</v>
      </c>
      <c r="K17" s="112">
        <f>Tableau13467810[[#This Row],[Total TTC]]</f>
        <v>16.8</v>
      </c>
      <c r="L17" s="113">
        <f>Tableau13467810[[#This Row],[Total HT]]</f>
        <v>16.37</v>
      </c>
      <c r="M17" s="144">
        <f>Tableau13467810[[#This Row],[TVA]]</f>
        <v>0.42999999999999972</v>
      </c>
      <c r="N17" s="114"/>
    </row>
    <row r="18" spans="1:14" s="34" customFormat="1" x14ac:dyDescent="0.25">
      <c r="A18" s="111"/>
      <c r="B18" s="118">
        <v>45583</v>
      </c>
      <c r="C18" s="120" t="s">
        <v>135</v>
      </c>
      <c r="D18" s="121" t="s">
        <v>20</v>
      </c>
      <c r="E18" s="115">
        <v>23.96</v>
      </c>
      <c r="F18" s="124"/>
      <c r="G18" s="116">
        <f>Tableau13467810[[#This Row],[Total TTC]]-Tableau13467810[[#This Row],[Total HT]]</f>
        <v>1.9399999999999977</v>
      </c>
      <c r="H18" s="131">
        <v>25.9</v>
      </c>
      <c r="I18" s="136">
        <f>Tableau13467810[[#This Row],[Total TTC]]/100*Tableau13467810[[#This Row],[TVA]]</f>
        <v>0.50245999999999946</v>
      </c>
      <c r="J18" s="131" t="s">
        <v>159</v>
      </c>
      <c r="K18" s="112">
        <f>Tableau13467810[[#This Row],[Total TTC]]</f>
        <v>25.9</v>
      </c>
      <c r="L18" s="113">
        <f>Tableau13467810[[#This Row],[Total HT]]</f>
        <v>23.96</v>
      </c>
      <c r="M18" s="144">
        <f>Tableau13467810[[#This Row],[TVA]]</f>
        <v>1.9399999999999977</v>
      </c>
      <c r="N18" s="114"/>
    </row>
    <row r="19" spans="1:14" s="34" customFormat="1" x14ac:dyDescent="0.25">
      <c r="A19" s="111"/>
      <c r="B19" s="118">
        <v>45583</v>
      </c>
      <c r="C19" s="120" t="s">
        <v>136</v>
      </c>
      <c r="D19" s="121" t="s">
        <v>20</v>
      </c>
      <c r="E19" s="115">
        <v>9.5500000000000007</v>
      </c>
      <c r="F19" s="124"/>
      <c r="G19" s="116">
        <f>Tableau13467810[[#This Row],[Total TTC]]-Tableau13467810[[#This Row],[Total HT]]</f>
        <v>0.25</v>
      </c>
      <c r="H19" s="131">
        <v>9.8000000000000007</v>
      </c>
      <c r="I19" s="136">
        <f>Tableau13467810[[#This Row],[Total TTC]]/100*Tableau13467810[[#This Row],[TVA]]</f>
        <v>2.4500000000000001E-2</v>
      </c>
      <c r="J19" s="131" t="s">
        <v>159</v>
      </c>
      <c r="K19" s="112">
        <f>Tableau13467810[[#This Row],[Total TTC]]</f>
        <v>9.8000000000000007</v>
      </c>
      <c r="L19" s="113">
        <f>Tableau13467810[[#This Row],[Total HT]]</f>
        <v>9.5500000000000007</v>
      </c>
      <c r="M19" s="144">
        <f>Tableau13467810[[#This Row],[TVA]]</f>
        <v>0.25</v>
      </c>
      <c r="N19" s="114"/>
    </row>
    <row r="20" spans="1:14" s="34" customFormat="1" x14ac:dyDescent="0.25">
      <c r="A20" s="111"/>
      <c r="B20" s="118">
        <v>45587</v>
      </c>
      <c r="C20" s="120" t="s">
        <v>138</v>
      </c>
      <c r="D20" s="121" t="s">
        <v>139</v>
      </c>
      <c r="E20" s="115">
        <v>145.07</v>
      </c>
      <c r="F20" s="124">
        <v>-150</v>
      </c>
      <c r="G20" s="116">
        <f>Tableau13467810[[#This Row],[Total TTC]]-Tableau13467810[[#This Row],[Total HT]]</f>
        <v>0</v>
      </c>
      <c r="H20" s="131">
        <v>145.07</v>
      </c>
      <c r="I20" s="136">
        <f>Tableau13467810[[#This Row],[Total TTC]]/100*Tableau13467810[[#This Row],[TVA]]</f>
        <v>0</v>
      </c>
      <c r="J20" s="131" t="s">
        <v>159</v>
      </c>
      <c r="K20" s="112">
        <f>Tableau13467810[[#This Row],[Total TTC]]</f>
        <v>145.07</v>
      </c>
      <c r="L20" s="113">
        <f>Tableau13467810[[#This Row],[Total HT]]</f>
        <v>145.07</v>
      </c>
      <c r="M20" s="144">
        <f>Tableau13467810[[#This Row],[TVA]]</f>
        <v>0</v>
      </c>
      <c r="N20" s="114"/>
    </row>
    <row r="21" spans="1:14" s="34" customFormat="1" x14ac:dyDescent="0.25">
      <c r="A21" s="111"/>
      <c r="B21" s="118">
        <v>45587</v>
      </c>
      <c r="C21" s="120" t="s">
        <v>141</v>
      </c>
      <c r="D21" s="121" t="s">
        <v>142</v>
      </c>
      <c r="E21" s="115">
        <v>24.16</v>
      </c>
      <c r="F21" s="124">
        <v>-24.98</v>
      </c>
      <c r="G21" s="116">
        <f>Tableau13467810[[#This Row],[Total TTC]]-Tableau13467810[[#This Row],[Total HT]]</f>
        <v>0</v>
      </c>
      <c r="H21" s="131">
        <v>24.16</v>
      </c>
      <c r="I21" s="136">
        <f>Tableau13467810[[#This Row],[Total TTC]]/100*Tableau13467810[[#This Row],[TVA]]</f>
        <v>0</v>
      </c>
      <c r="J21" s="131" t="s">
        <v>159</v>
      </c>
      <c r="K21" s="112">
        <f>Tableau13467810[[#This Row],[Total TTC]]</f>
        <v>24.16</v>
      </c>
      <c r="L21" s="113">
        <f>Tableau13467810[[#This Row],[Total HT]]</f>
        <v>24.16</v>
      </c>
      <c r="M21" s="144">
        <f>Tableau13467810[[#This Row],[TVA]]</f>
        <v>0</v>
      </c>
      <c r="N21" s="114"/>
    </row>
    <row r="22" spans="1:14" s="34" customFormat="1" x14ac:dyDescent="0.25">
      <c r="A22" s="111"/>
      <c r="B22" s="118">
        <v>45588</v>
      </c>
      <c r="C22" s="120" t="s">
        <v>142</v>
      </c>
      <c r="D22" s="121" t="s">
        <v>142</v>
      </c>
      <c r="E22" s="115">
        <v>19.34</v>
      </c>
      <c r="F22" s="124">
        <v>-20</v>
      </c>
      <c r="G22" s="116">
        <f>Tableau13467810[[#This Row],[Total TTC]]-Tableau13467810[[#This Row],[Total HT]]</f>
        <v>0</v>
      </c>
      <c r="H22" s="131">
        <v>19.34</v>
      </c>
      <c r="I22" s="136">
        <f>Tableau13467810[[#This Row],[Total TTC]]/100*Tableau13467810[[#This Row],[TVA]]</f>
        <v>0</v>
      </c>
      <c r="J22" s="131" t="s">
        <v>159</v>
      </c>
      <c r="K22" s="112">
        <f>Tableau13467810[[#This Row],[Total TTC]]</f>
        <v>19.34</v>
      </c>
      <c r="L22" s="113">
        <f>Tableau13467810[[#This Row],[Total HT]]</f>
        <v>19.34</v>
      </c>
      <c r="M22" s="144">
        <f>Tableau13467810[[#This Row],[TVA]]</f>
        <v>0</v>
      </c>
      <c r="N22" s="114"/>
    </row>
    <row r="23" spans="1:14" s="34" customFormat="1" x14ac:dyDescent="0.25">
      <c r="A23" s="111"/>
      <c r="B23" s="118">
        <v>45589</v>
      </c>
      <c r="C23" s="120" t="s">
        <v>142</v>
      </c>
      <c r="D23" s="121" t="s">
        <v>142</v>
      </c>
      <c r="E23" s="100">
        <v>14.55</v>
      </c>
      <c r="F23" s="124" t="s">
        <v>154</v>
      </c>
      <c r="G23" s="116">
        <f>Tableau13467810[[#This Row],[Total TTC]]-Tableau13467810[[#This Row],[Total HT]]</f>
        <v>0</v>
      </c>
      <c r="H23" s="95">
        <v>14.55</v>
      </c>
      <c r="I23" s="136">
        <f>Tableau13467810[[#This Row],[Total TTC]]/100*Tableau13467810[[#This Row],[TVA]]</f>
        <v>0</v>
      </c>
      <c r="J23" s="131" t="s">
        <v>159</v>
      </c>
      <c r="K23" s="112">
        <f>Tableau13467810[[#This Row],[Total TTC]]</f>
        <v>14.55</v>
      </c>
      <c r="L23" s="113">
        <f>Tableau13467810[[#This Row],[Total HT]]</f>
        <v>14.55</v>
      </c>
      <c r="M23" s="144">
        <f>Tableau13467810[[#This Row],[TVA]]</f>
        <v>0</v>
      </c>
      <c r="N23" s="114"/>
    </row>
    <row r="24" spans="1:14" s="34" customFormat="1" x14ac:dyDescent="0.25">
      <c r="A24" s="111"/>
      <c r="B24" s="118">
        <v>45589</v>
      </c>
      <c r="C24" s="120" t="s">
        <v>142</v>
      </c>
      <c r="D24" s="121" t="s">
        <v>142</v>
      </c>
      <c r="E24" s="100">
        <v>10.67</v>
      </c>
      <c r="F24" s="124" t="s">
        <v>156</v>
      </c>
      <c r="G24" s="116">
        <f>Tableau13467810[[#This Row],[Total TTC]]-Tableau13467810[[#This Row],[Total HT]]</f>
        <v>0</v>
      </c>
      <c r="H24" s="95">
        <v>10.67</v>
      </c>
      <c r="I24" s="136">
        <f>Tableau13467810[[#This Row],[Total TTC]]/100*Tableau13467810[[#This Row],[TVA]]</f>
        <v>0</v>
      </c>
      <c r="J24" s="124" t="s">
        <v>12</v>
      </c>
      <c r="K24" s="112">
        <f>Tableau13467810[[#This Row],[Total TTC]]</f>
        <v>10.67</v>
      </c>
      <c r="L24" s="113">
        <f>Tableau13467810[[#This Row],[Total HT]]</f>
        <v>10.67</v>
      </c>
      <c r="M24" s="144">
        <f>Tableau13467810[[#This Row],[TVA]]</f>
        <v>0</v>
      </c>
      <c r="N24" s="114"/>
    </row>
    <row r="25" spans="1:14" x14ac:dyDescent="0.25">
      <c r="A25" s="111"/>
      <c r="B25" s="118">
        <v>45590</v>
      </c>
      <c r="C25" s="120" t="s">
        <v>147</v>
      </c>
      <c r="D25" s="121" t="s">
        <v>19</v>
      </c>
      <c r="E25" s="115">
        <v>6.48</v>
      </c>
      <c r="F25" s="124"/>
      <c r="G25" s="116">
        <f>Tableau13467810[[#This Row],[Total TTC]]-Tableau13467810[[#This Row],[Total HT]]</f>
        <v>0.51999999999999957</v>
      </c>
      <c r="H25" s="131">
        <v>7</v>
      </c>
      <c r="I25" s="136">
        <f>Tableau13467810[[#This Row],[Total TTC]]/100*Tableau13467810[[#This Row],[TVA]]</f>
        <v>3.6399999999999974E-2</v>
      </c>
      <c r="J25" s="131" t="s">
        <v>159</v>
      </c>
      <c r="K25" s="112">
        <f>Tableau13467810[[#This Row],[Total TTC]]</f>
        <v>7</v>
      </c>
      <c r="L25" s="113">
        <f>Tableau13467810[[#This Row],[Total HT]]</f>
        <v>6.48</v>
      </c>
      <c r="M25" s="144">
        <f>Tableau13467810[[#This Row],[TVA]]</f>
        <v>0.51999999999999957</v>
      </c>
      <c r="N25" s="114"/>
    </row>
    <row r="26" spans="1:14" x14ac:dyDescent="0.25">
      <c r="A26" s="111"/>
      <c r="B26" s="118">
        <v>45590</v>
      </c>
      <c r="C26" s="120" t="s">
        <v>148</v>
      </c>
      <c r="D26" s="121" t="s">
        <v>20</v>
      </c>
      <c r="E26" s="115">
        <v>6.04</v>
      </c>
      <c r="F26" s="124"/>
      <c r="G26" s="116">
        <f>Tableau13467810[[#This Row],[Total TTC]]-Tableau13467810[[#This Row],[Total HT]]</f>
        <v>0.16000000000000014</v>
      </c>
      <c r="H26" s="131">
        <v>6.2</v>
      </c>
      <c r="I26" s="136">
        <f>Tableau13467810[[#This Row],[Total TTC]]/100*Tableau13467810[[#This Row],[TVA]]</f>
        <v>9.9200000000000087E-3</v>
      </c>
      <c r="J26" s="131" t="s">
        <v>159</v>
      </c>
      <c r="K26" s="112">
        <f>Tableau13467810[[#This Row],[Total TTC]]</f>
        <v>6.2</v>
      </c>
      <c r="L26" s="113">
        <f>Tableau13467810[[#This Row],[Total HT]]</f>
        <v>6.04</v>
      </c>
      <c r="M26" s="144">
        <f>Tableau13467810[[#This Row],[TVA]]</f>
        <v>0.16000000000000014</v>
      </c>
      <c r="N26" s="114"/>
    </row>
    <row r="27" spans="1:14" x14ac:dyDescent="0.25">
      <c r="A27" s="111"/>
      <c r="B27" s="118">
        <v>45590</v>
      </c>
      <c r="C27" s="120" t="s">
        <v>149</v>
      </c>
      <c r="D27" s="121" t="s">
        <v>20</v>
      </c>
      <c r="E27" s="115">
        <v>13.6</v>
      </c>
      <c r="F27" s="124"/>
      <c r="G27" s="116">
        <f>Tableau13467810[[#This Row],[Total TTC]]-Tableau13467810[[#This Row],[Total HT]]</f>
        <v>1.0999999999999996</v>
      </c>
      <c r="H27" s="131">
        <v>14.7</v>
      </c>
      <c r="I27" s="136">
        <f>Tableau13467810[[#This Row],[Total TTC]]/100*Tableau13467810[[#This Row],[TVA]]</f>
        <v>0.16169999999999993</v>
      </c>
      <c r="J27" s="131" t="s">
        <v>159</v>
      </c>
      <c r="K27" s="112">
        <f>Tableau13467810[[#This Row],[Total TTC]]</f>
        <v>14.7</v>
      </c>
      <c r="L27" s="113">
        <f>Tableau13467810[[#This Row],[Total HT]]</f>
        <v>13.6</v>
      </c>
      <c r="M27" s="144">
        <f>Tableau13467810[[#This Row],[TVA]]</f>
        <v>1.0999999999999996</v>
      </c>
      <c r="N27" s="114"/>
    </row>
    <row r="28" spans="1:14" x14ac:dyDescent="0.25">
      <c r="B28" s="119">
        <v>45593</v>
      </c>
      <c r="C28" s="82" t="s">
        <v>151</v>
      </c>
      <c r="D28" s="82" t="s">
        <v>139</v>
      </c>
      <c r="E28" s="100">
        <v>23.6</v>
      </c>
      <c r="F28" s="42" t="s">
        <v>158</v>
      </c>
      <c r="G28" s="30">
        <f>Tableau13467810[[#This Row],[Total TTC]]-Tableau13467810[[#This Row],[Total HT]]</f>
        <v>0</v>
      </c>
      <c r="H28" s="41">
        <v>23.6</v>
      </c>
      <c r="I28" s="138">
        <f>Tableau13467810[[#This Row],[Total TTC]]/100*Tableau13467810[[#This Row],[TVA]]</f>
        <v>0</v>
      </c>
      <c r="J28" s="131" t="s">
        <v>159</v>
      </c>
      <c r="K28" s="147">
        <f>Tableau13467810[[#This Row],[Total TTC]]</f>
        <v>23.6</v>
      </c>
      <c r="L28" s="100">
        <f>Tableau13467810[[#This Row],[Total HT]]</f>
        <v>23.6</v>
      </c>
      <c r="M28" s="125">
        <f>Tableau13467810[[#This Row],[TVA]]</f>
        <v>0</v>
      </c>
      <c r="N28" s="63"/>
    </row>
    <row r="29" spans="1:14" x14ac:dyDescent="0.25">
      <c r="B29" s="119">
        <v>45593</v>
      </c>
      <c r="C29" s="82" t="s">
        <v>108</v>
      </c>
      <c r="D29" s="82" t="s">
        <v>29</v>
      </c>
      <c r="E29" s="125">
        <v>42.64</v>
      </c>
      <c r="F29" s="58"/>
      <c r="G29" s="30">
        <f>Tableau13467810[[#This Row],[Total TTC]]-Tableau13467810[[#This Row],[Total HT]]</f>
        <v>1.1099999999999994</v>
      </c>
      <c r="H29" s="41">
        <v>43.75</v>
      </c>
      <c r="I29" s="138">
        <f>Tableau13467810[[#This Row],[Total TTC]]/100*Tableau13467810[[#This Row],[TVA]]</f>
        <v>0.48562499999999975</v>
      </c>
      <c r="J29" s="131" t="s">
        <v>159</v>
      </c>
      <c r="K29" s="28">
        <f>Tableau13467810[[#This Row],[Total TTC]]</f>
        <v>43.75</v>
      </c>
      <c r="L29" s="100">
        <f>Tableau13467810[[#This Row],[Total HT]]</f>
        <v>42.64</v>
      </c>
      <c r="M29" s="125">
        <f>Tableau13467810[[#This Row],[TVA]]</f>
        <v>1.1099999999999994</v>
      </c>
      <c r="N29" s="63"/>
    </row>
    <row r="30" spans="1:14" s="34" customFormat="1" x14ac:dyDescent="0.25">
      <c r="A30" s="126"/>
      <c r="B30" s="126"/>
      <c r="C30" s="127"/>
      <c r="D30" s="127"/>
      <c r="E30" s="45">
        <f>SUM(Tableau13467810[Total HT])</f>
        <v>503.0800000000001</v>
      </c>
      <c r="F30" s="128"/>
      <c r="G30" s="45">
        <f>SUBTOTAL(9,Tableau13467810[TVA])</f>
        <v>17.409999999999989</v>
      </c>
      <c r="H30" s="45">
        <f>SUM(Tableau13467810[Total TTC])</f>
        <v>520.49</v>
      </c>
      <c r="I30" s="99"/>
      <c r="J30" s="132"/>
      <c r="K30" s="45">
        <f>SUBTOTAL(9,Tableau13467810[Montant 
Brut CHF])</f>
        <v>520.49</v>
      </c>
      <c r="L30" s="45">
        <f>SUBTOTAL(9,Tableau13467810[Montant 
NET CHF])</f>
        <v>503.0800000000001</v>
      </c>
      <c r="M30" s="45">
        <f>SUBTOTAL(9,Tableau13467810[TVA
CHF])</f>
        <v>17.409999999999989</v>
      </c>
      <c r="N30" s="45"/>
    </row>
    <row r="33" spans="4:14" x14ac:dyDescent="0.25">
      <c r="J33" s="91" t="s">
        <v>8</v>
      </c>
      <c r="K33" s="27">
        <f>SUMIF($J$8:$J$29,J33,$K$8:$K$29)</f>
        <v>0</v>
      </c>
      <c r="L33" s="27">
        <f>SUMIF($J$8:$J$29,J33,$L$8:$L$29)</f>
        <v>0</v>
      </c>
      <c r="M33" s="145">
        <f>SUMIF($J$8:$J$29,J33,$M$8:$M$29)</f>
        <v>0</v>
      </c>
      <c r="N33" s="63" t="str">
        <f>IF(K33&gt;0,100/L33*M33,"")</f>
        <v/>
      </c>
    </row>
    <row r="34" spans="4:14" x14ac:dyDescent="0.25">
      <c r="D34" s="26"/>
      <c r="J34" s="93" t="s">
        <v>64</v>
      </c>
      <c r="K34" s="27">
        <f>SUMIF($J$8:$J$29,J34,$K$8:$K$29)</f>
        <v>0</v>
      </c>
      <c r="L34" s="27">
        <f>SUMIF($J$8:$J$29,J34,$L$8:$L$29)</f>
        <v>0</v>
      </c>
      <c r="M34" s="145">
        <f>SUMIF($J$8:$J$29,J34,$M$8:$M$29)</f>
        <v>0</v>
      </c>
      <c r="N34" s="63" t="str">
        <f t="shared" ref="N34:N44" si="0">IF(K34&gt;0,100/L34*M34,"")</f>
        <v/>
      </c>
    </row>
    <row r="35" spans="4:14" x14ac:dyDescent="0.25">
      <c r="J35" s="93" t="s">
        <v>15</v>
      </c>
      <c r="K35" s="27">
        <f>SUMIF($J$8:$J$29,J35,$K$8:$K$29)</f>
        <v>2.5</v>
      </c>
      <c r="L35" s="27">
        <f>SUMIF($J$8:$J$29,J35,$L$8:$L$29)</f>
        <v>2.31</v>
      </c>
      <c r="M35" s="145">
        <f>SUMIF($J$8:$J$29,J35,$M$8:$M$29)</f>
        <v>0.18999999999999995</v>
      </c>
      <c r="N35" s="63">
        <f t="shared" si="0"/>
        <v>8.2251082251082224</v>
      </c>
    </row>
    <row r="36" spans="4:14" x14ac:dyDescent="0.25">
      <c r="J36" s="134" t="s">
        <v>91</v>
      </c>
      <c r="K36" s="27">
        <f>SUMIF($J$8:$J$29,J36,$K$8:$K$29)</f>
        <v>0</v>
      </c>
      <c r="L36" s="27">
        <f>SUMIF($J$8:$J$29,J36,$L$8:$L$29)</f>
        <v>0</v>
      </c>
      <c r="M36" s="145">
        <f>SUMIF($J$8:$J$29,J36,$M$8:$M$29)</f>
        <v>0</v>
      </c>
      <c r="N36" s="63" t="str">
        <f t="shared" si="0"/>
        <v/>
      </c>
    </row>
    <row r="37" spans="4:14" x14ac:dyDescent="0.25">
      <c r="D37" s="26"/>
      <c r="J37" s="134" t="s">
        <v>6</v>
      </c>
      <c r="K37" s="27">
        <f>SUMIF($J$8:$J$29,J37,$K$8:$K$29)</f>
        <v>0</v>
      </c>
      <c r="L37" s="27">
        <f>SUMIF($J$8:$J$29,J37,$L$8:$L$29)</f>
        <v>0</v>
      </c>
      <c r="M37" s="145">
        <f>SUMIF($J$8:$J$29,J37,$M$8:$M$29)</f>
        <v>0</v>
      </c>
      <c r="N37" s="63" t="str">
        <f t="shared" si="0"/>
        <v/>
      </c>
    </row>
    <row r="38" spans="4:14" x14ac:dyDescent="0.25">
      <c r="D38" s="26"/>
      <c r="J38" s="134" t="s">
        <v>11</v>
      </c>
      <c r="K38" s="27">
        <f>SUMIF($J$8:$J$29,J38,$K$8:$K$29)</f>
        <v>0</v>
      </c>
      <c r="L38" s="27">
        <f>SUMIF($J$8:$J$29,J38,$L$8:$L$29)</f>
        <v>0</v>
      </c>
      <c r="M38" s="145">
        <f>SUMIF($J$8:$J$29,J38,$M$8:$M$29)</f>
        <v>0</v>
      </c>
      <c r="N38" s="63" t="str">
        <f t="shared" si="0"/>
        <v/>
      </c>
    </row>
    <row r="39" spans="4:14" x14ac:dyDescent="0.25">
      <c r="D39" s="26"/>
      <c r="J39" s="134" t="s">
        <v>112</v>
      </c>
      <c r="K39" s="27">
        <f>SUMIF($J$8:$J$29,J39,$K$8:$K$29)</f>
        <v>0</v>
      </c>
      <c r="L39" s="27">
        <f>SUMIF($J$8:$J$29,J39,$L$8:$L$29)</f>
        <v>0</v>
      </c>
      <c r="M39" s="145">
        <f>SUMIF($J$8:$J$29,J39,$M$8:$M$29)</f>
        <v>0</v>
      </c>
      <c r="N39" s="63" t="str">
        <f t="shared" si="0"/>
        <v/>
      </c>
    </row>
    <row r="40" spans="4:14" x14ac:dyDescent="0.25">
      <c r="D40" s="26"/>
      <c r="J40" s="134" t="s">
        <v>12</v>
      </c>
      <c r="K40" s="27">
        <f>SUMIF($J$8:$J$29,J40,$K$8:$K$29)</f>
        <v>10.67</v>
      </c>
      <c r="L40" s="27">
        <f>SUMIF($J$8:$J$29,J40,$L$8:$L$29)</f>
        <v>10.67</v>
      </c>
      <c r="M40" s="145">
        <f>SUMIF($J$8:$J$29,J40,$M$8:$M$29)</f>
        <v>0</v>
      </c>
      <c r="N40" s="63">
        <f t="shared" si="0"/>
        <v>0</v>
      </c>
    </row>
    <row r="41" spans="4:14" x14ac:dyDescent="0.25">
      <c r="D41" s="26"/>
      <c r="J41" s="134" t="s">
        <v>67</v>
      </c>
      <c r="K41" s="27">
        <f>SUMIF($J$8:$J$29,J41,$K$8:$K$29)</f>
        <v>0</v>
      </c>
      <c r="L41" s="27">
        <f>SUMIF($J$8:$J$29,J41,$L$8:$L$29)</f>
        <v>0</v>
      </c>
      <c r="M41" s="145">
        <f>SUMIF($J$8:$J$29,J41,$M$8:$M$29)</f>
        <v>0</v>
      </c>
      <c r="N41" s="63" t="str">
        <f t="shared" si="0"/>
        <v/>
      </c>
    </row>
    <row r="42" spans="4:14" x14ac:dyDescent="0.25">
      <c r="D42" s="26"/>
      <c r="J42" s="134" t="s">
        <v>14</v>
      </c>
      <c r="K42" s="27">
        <f>SUMIF($J$8:$J$29,J42,$K$8:$K$29)</f>
        <v>0</v>
      </c>
      <c r="L42" s="27">
        <f>SUMIF($J$8:$J$29,J42,$L$8:$L$29)</f>
        <v>0</v>
      </c>
      <c r="M42" s="145">
        <f>SUMIF($J$8:$J$29,J42,$M$8:$M$29)</f>
        <v>0</v>
      </c>
      <c r="N42" s="63" t="str">
        <f t="shared" si="0"/>
        <v/>
      </c>
    </row>
    <row r="43" spans="4:14" x14ac:dyDescent="0.25">
      <c r="D43" s="26"/>
      <c r="J43" s="91" t="s">
        <v>60</v>
      </c>
      <c r="K43" s="27">
        <f>SUMIF($J$8:$J$29,J43,$K$8:$K$29)</f>
        <v>0</v>
      </c>
      <c r="L43" s="27">
        <f>SUMIF($J$8:$J$29,J43,$L$8:$L$29)</f>
        <v>0</v>
      </c>
      <c r="M43" s="145">
        <f>SUMIF($J$8:$J$29,J43,$M$8:$M$29)</f>
        <v>0</v>
      </c>
      <c r="N43" s="63" t="str">
        <f t="shared" si="0"/>
        <v/>
      </c>
    </row>
    <row r="44" spans="4:14" x14ac:dyDescent="0.25">
      <c r="J44" s="134" t="s">
        <v>88</v>
      </c>
      <c r="K44" s="27">
        <f>SUMIF($J$8:$J$29,J44,$K$8:$K$29)</f>
        <v>0</v>
      </c>
      <c r="L44" s="27">
        <f>SUMIF($J$8:$J$29,J44,$L$8:$L$29)</f>
        <v>0</v>
      </c>
      <c r="M44" s="145">
        <f>SUMIF($J$8:$J$29,J44,$M$8:$M$29)</f>
        <v>0</v>
      </c>
      <c r="N44" s="63" t="str">
        <f t="shared" si="0"/>
        <v/>
      </c>
    </row>
    <row r="45" spans="4:14" x14ac:dyDescent="0.25">
      <c r="J45" s="134"/>
      <c r="K45" s="27"/>
      <c r="L45" s="27"/>
      <c r="M45" s="145"/>
      <c r="N45" s="63"/>
    </row>
    <row r="46" spans="4:14" x14ac:dyDescent="0.25">
      <c r="J46" s="140" t="s">
        <v>159</v>
      </c>
      <c r="K46" s="141">
        <f>SUMIF($J$8:$J$29,J46,$K$8:$K$29)</f>
        <v>507.32</v>
      </c>
      <c r="L46" s="141">
        <f>SUMIF($J$8:$J$29,J46,$L$8:$L$29)</f>
        <v>490.10000000000014</v>
      </c>
      <c r="M46" s="146">
        <f>SUMIF($J$8:$J$29,J46,$M$8:$M$29)</f>
        <v>17.219999999999992</v>
      </c>
      <c r="N46" s="63"/>
    </row>
    <row r="47" spans="4:14" x14ac:dyDescent="0.25">
      <c r="J47" s="134" t="s">
        <v>93</v>
      </c>
      <c r="K47" s="27">
        <f>SUMIF($J$8:$J$29,J47,$K$8:$K$29)</f>
        <v>0</v>
      </c>
      <c r="L47" s="27">
        <f>SUMIF($J$8:$J$29,J47,$L$8:$L$29)</f>
        <v>0</v>
      </c>
      <c r="M47" s="145">
        <f>SUMIF($J$8:$J$29,J47,$M$8:$M$29)</f>
        <v>0</v>
      </c>
      <c r="N47" s="80"/>
    </row>
    <row r="48" spans="4:14" x14ac:dyDescent="0.25">
      <c r="D48" s="32"/>
      <c r="K48" s="27"/>
      <c r="L48" s="27"/>
      <c r="M48" s="145"/>
    </row>
    <row r="49" spans="10:13" x14ac:dyDescent="0.25">
      <c r="J49" s="135" t="s">
        <v>7</v>
      </c>
      <c r="K49" s="33">
        <f>SUM(K33:K47)</f>
        <v>520.49</v>
      </c>
      <c r="L49" s="33">
        <f>SUM(L33:L47)</f>
        <v>503.08000000000015</v>
      </c>
      <c r="M49" s="145">
        <f>SUM(M33:M47)</f>
        <v>17.409999999999993</v>
      </c>
    </row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7D15-4F14-4363-82C7-78EAD7281C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34A6-5DEE-4699-9DD9-4961D0F72154}">
  <sheetPr>
    <pageSetUpPr fitToPage="1"/>
  </sheetPr>
  <dimension ref="A1:O39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4" sqref="I14"/>
    </sheetView>
  </sheetViews>
  <sheetFormatPr baseColWidth="10" defaultRowHeight="15" x14ac:dyDescent="0.25"/>
  <cols>
    <col min="1" max="1" width="5.7109375" style="25" customWidth="1"/>
    <col min="2" max="2" width="20.140625" style="25" customWidth="1"/>
    <col min="3" max="3" width="53.7109375" customWidth="1"/>
    <col min="4" max="4" width="7.5703125" bestFit="1" customWidth="1"/>
    <col min="5" max="5" width="0" style="34" hidden="1" customWidth="1"/>
    <col min="6" max="6" width="10.28515625" hidden="1" customWidth="1"/>
    <col min="7" max="7" width="10" hidden="1" customWidth="1"/>
    <col min="8" max="8" width="10" style="38" hidden="1" customWidth="1"/>
    <col min="9" max="9" width="21.7109375" customWidth="1"/>
    <col min="10" max="10" width="11.42578125" style="34"/>
    <col min="11" max="11" width="7.140625" style="55" customWidth="1"/>
    <col min="12" max="12" width="9.85546875" style="49" customWidth="1"/>
    <col min="13" max="13" width="9.85546875" hidden="1" customWidth="1"/>
    <col min="14" max="14" width="9.85546875" customWidth="1"/>
  </cols>
  <sheetData>
    <row r="1" spans="1:14" x14ac:dyDescent="0.25">
      <c r="A1" s="25" t="s">
        <v>21</v>
      </c>
    </row>
    <row r="2" spans="1:14" x14ac:dyDescent="0.25">
      <c r="A2" s="25" t="s">
        <v>22</v>
      </c>
    </row>
    <row r="5" spans="1:14" s="34" customFormat="1" ht="45" x14ac:dyDescent="0.25">
      <c r="A5" s="35" t="s">
        <v>23</v>
      </c>
      <c r="B5" s="35" t="s">
        <v>24</v>
      </c>
      <c r="C5" s="34" t="s">
        <v>25</v>
      </c>
      <c r="D5" s="34" t="s">
        <v>75</v>
      </c>
      <c r="E5" s="37" t="s">
        <v>28</v>
      </c>
      <c r="F5" s="37" t="s">
        <v>26</v>
      </c>
      <c r="G5" s="37" t="s">
        <v>27</v>
      </c>
      <c r="H5" s="39" t="s">
        <v>70</v>
      </c>
      <c r="I5" s="50" t="s">
        <v>73</v>
      </c>
      <c r="J5" s="37" t="s">
        <v>72</v>
      </c>
      <c r="K5" s="56" t="s">
        <v>59</v>
      </c>
      <c r="L5" s="51" t="s">
        <v>71</v>
      </c>
      <c r="M5" s="37" t="s">
        <v>68</v>
      </c>
      <c r="N5" s="54" t="s">
        <v>74</v>
      </c>
    </row>
    <row r="6" spans="1:14" x14ac:dyDescent="0.25">
      <c r="A6" s="25">
        <v>29</v>
      </c>
      <c r="B6" s="36">
        <v>45502</v>
      </c>
      <c r="C6" t="s">
        <v>55</v>
      </c>
      <c r="D6" t="s">
        <v>19</v>
      </c>
      <c r="E6" s="28">
        <v>325</v>
      </c>
      <c r="F6" s="30">
        <v>313.10000000000002</v>
      </c>
      <c r="G6" s="30">
        <f t="shared" ref="G6:G38" si="0">E6-F6</f>
        <v>11.899999999999977</v>
      </c>
      <c r="H6" s="40">
        <f>100/Tableau1[[#This Row],[Total HT]]*Tableau1[[#This Row],[ TVA ]]</f>
        <v>3.8007026509102451</v>
      </c>
      <c r="I6" t="s">
        <v>67</v>
      </c>
      <c r="J6" s="28">
        <v>325</v>
      </c>
      <c r="K6" s="55">
        <v>3.8</v>
      </c>
      <c r="L6" s="52">
        <v>11.897880539499036</v>
      </c>
      <c r="M6" s="5">
        <f>Tableau1[[#This Row],[Montant 
TVA]]-Tableau1[[#This Row],[ TVA ]]</f>
        <v>-2.1194605009409173E-3</v>
      </c>
      <c r="N6" s="5">
        <f>Tableau1[[#This Row],[Montant ]]-Tableau1[[#This Row],[Montant 
TVA]]</f>
        <v>313.10211946050094</v>
      </c>
    </row>
    <row r="7" spans="1:14" x14ac:dyDescent="0.25">
      <c r="A7" s="25">
        <v>30</v>
      </c>
      <c r="B7" s="36">
        <v>45502</v>
      </c>
      <c r="C7" t="s">
        <v>55</v>
      </c>
      <c r="D7" t="s">
        <v>19</v>
      </c>
      <c r="E7" s="28">
        <v>85.6</v>
      </c>
      <c r="F7" s="30">
        <v>80.84</v>
      </c>
      <c r="G7" s="42">
        <f t="shared" si="0"/>
        <v>4.7599999999999909</v>
      </c>
      <c r="H7" s="40">
        <f>100/Tableau1[[#This Row],[Total HT]]*Tableau1[[#This Row],[ TVA ]]</f>
        <v>5.8881741712023627</v>
      </c>
      <c r="I7" t="s">
        <v>67</v>
      </c>
      <c r="J7" s="28">
        <v>85.6</v>
      </c>
      <c r="K7" s="55" t="s">
        <v>61</v>
      </c>
      <c r="L7" s="52">
        <v>4.76</v>
      </c>
      <c r="M7" s="5">
        <f>Tableau1[[#This Row],[Montant 
TVA]]-Tableau1[[#This Row],[ TVA ]]</f>
        <v>8.8817841970012523E-15</v>
      </c>
      <c r="N7" s="5">
        <f>Tableau1[[#This Row],[Montant ]]-Tableau1[[#This Row],[Montant 
TVA]]</f>
        <v>80.839999999999989</v>
      </c>
    </row>
    <row r="8" spans="1:14" x14ac:dyDescent="0.25">
      <c r="A8" s="25">
        <v>11</v>
      </c>
      <c r="B8" s="36">
        <v>45481</v>
      </c>
      <c r="C8" t="s">
        <v>39</v>
      </c>
      <c r="D8" t="s">
        <v>20</v>
      </c>
      <c r="E8" s="28">
        <v>34.15</v>
      </c>
      <c r="F8" s="30">
        <v>33.340000000000003</v>
      </c>
      <c r="G8" s="30">
        <f t="shared" si="0"/>
        <v>0.80999999999999517</v>
      </c>
      <c r="H8" s="40">
        <f>100/Tableau1[[#This Row],[Total HT]]*Tableau1[[#This Row],[ TVA ]]</f>
        <v>2.4295140971805491</v>
      </c>
      <c r="I8" t="s">
        <v>63</v>
      </c>
      <c r="J8" s="28">
        <v>34.15</v>
      </c>
      <c r="K8" s="55" t="s">
        <v>61</v>
      </c>
      <c r="L8" s="52">
        <v>0.98000000000000009</v>
      </c>
      <c r="M8" s="48">
        <f>Tableau1[[#This Row],[Montant 
TVA]]-Tableau1[[#This Row],[ TVA ]]</f>
        <v>0.17000000000000492</v>
      </c>
      <c r="N8" s="5">
        <f>Tableau1[[#This Row],[Montant ]]-Tableau1[[#This Row],[Montant 
TVA]]</f>
        <v>33.17</v>
      </c>
    </row>
    <row r="9" spans="1:14" x14ac:dyDescent="0.25">
      <c r="A9" s="25">
        <v>12</v>
      </c>
      <c r="B9" s="36">
        <v>45482</v>
      </c>
      <c r="C9" t="s">
        <v>40</v>
      </c>
      <c r="D9" t="s">
        <v>20</v>
      </c>
      <c r="E9" s="28">
        <v>16.100000000000001</v>
      </c>
      <c r="F9" s="30">
        <v>14.89</v>
      </c>
      <c r="G9" s="30">
        <f t="shared" si="0"/>
        <v>1.2100000000000009</v>
      </c>
      <c r="H9" s="40">
        <f>100/Tableau1[[#This Row],[Total HT]]*Tableau1[[#This Row],[ TVA ]]</f>
        <v>8.1262592343854987</v>
      </c>
      <c r="I9" t="s">
        <v>63</v>
      </c>
      <c r="J9" s="28">
        <v>16.100000000000001</v>
      </c>
      <c r="K9" s="55">
        <v>8.1</v>
      </c>
      <c r="L9" s="52">
        <v>1.2063829787234044</v>
      </c>
      <c r="M9" s="5">
        <f>Tableau1[[#This Row],[Montant 
TVA]]-Tableau1[[#This Row],[ TVA ]]</f>
        <v>-3.617021276596466E-3</v>
      </c>
      <c r="N9" s="5">
        <f>Tableau1[[#This Row],[Montant ]]-Tableau1[[#This Row],[Montant 
TVA]]</f>
        <v>14.893617021276597</v>
      </c>
    </row>
    <row r="10" spans="1:14" x14ac:dyDescent="0.25">
      <c r="A10" s="25">
        <v>24</v>
      </c>
      <c r="B10" s="36">
        <v>45494</v>
      </c>
      <c r="C10" t="s">
        <v>50</v>
      </c>
      <c r="D10" t="s">
        <v>20</v>
      </c>
      <c r="E10" s="28">
        <v>21.4</v>
      </c>
      <c r="F10" s="30">
        <v>20.86</v>
      </c>
      <c r="G10" s="30">
        <f t="shared" si="0"/>
        <v>0.53999999999999915</v>
      </c>
      <c r="H10" s="40">
        <f>100/Tableau1[[#This Row],[Total HT]]*Tableau1[[#This Row],[ TVA ]]</f>
        <v>2.588686481303927</v>
      </c>
      <c r="I10" t="s">
        <v>63</v>
      </c>
      <c r="J10" s="28">
        <v>21.4</v>
      </c>
      <c r="K10" s="55">
        <v>2.6</v>
      </c>
      <c r="L10" s="52">
        <v>0.54230019493177384</v>
      </c>
      <c r="M10" s="5">
        <f>Tableau1[[#This Row],[Montant 
TVA]]-Tableau1[[#This Row],[ TVA ]]</f>
        <v>2.3001949317746906E-3</v>
      </c>
      <c r="N10" s="5">
        <f>Tableau1[[#This Row],[Montant ]]-Tableau1[[#This Row],[Montant 
TVA]]</f>
        <v>20.857699805068226</v>
      </c>
    </row>
    <row r="11" spans="1:14" x14ac:dyDescent="0.25">
      <c r="A11" s="25">
        <v>22</v>
      </c>
      <c r="B11" s="36">
        <v>45493</v>
      </c>
      <c r="C11" t="s">
        <v>48</v>
      </c>
      <c r="D11" t="s">
        <v>29</v>
      </c>
      <c r="E11" s="28">
        <v>3</v>
      </c>
      <c r="F11" s="30">
        <v>2.7800000000000002</v>
      </c>
      <c r="G11" s="30">
        <f t="shared" si="0"/>
        <v>0.21999999999999975</v>
      </c>
      <c r="H11" s="40">
        <f>100/Tableau1[[#This Row],[Total HT]]*Tableau1[[#This Row],[ TVA ]]</f>
        <v>7.9136690647481913</v>
      </c>
      <c r="I11" t="s">
        <v>60</v>
      </c>
      <c r="J11" s="28">
        <v>3</v>
      </c>
      <c r="K11" s="55">
        <v>8.1</v>
      </c>
      <c r="L11" s="52">
        <v>0.2247918593894542</v>
      </c>
      <c r="M11" s="5">
        <f>Tableau1[[#This Row],[Montant 
TVA]]-Tableau1[[#This Row],[ TVA ]]</f>
        <v>4.7918593894544503E-3</v>
      </c>
      <c r="N11" s="5">
        <f>Tableau1[[#This Row],[Montant ]]-Tableau1[[#This Row],[Montant 
TVA]]</f>
        <v>2.775208140610546</v>
      </c>
    </row>
    <row r="12" spans="1:14" x14ac:dyDescent="0.25">
      <c r="A12" s="25">
        <v>17</v>
      </c>
      <c r="B12" s="36">
        <v>45490</v>
      </c>
      <c r="C12" t="s">
        <v>45</v>
      </c>
      <c r="D12" t="s">
        <v>29</v>
      </c>
      <c r="E12" s="28">
        <v>14</v>
      </c>
      <c r="F12" s="30">
        <v>12.95</v>
      </c>
      <c r="G12" s="30">
        <f t="shared" si="0"/>
        <v>1.0500000000000007</v>
      </c>
      <c r="H12" s="40">
        <f>100/Tableau1[[#This Row],[Total HT]]*Tableau1[[#This Row],[ TVA ]]</f>
        <v>8.1081081081081141</v>
      </c>
      <c r="I12" t="s">
        <v>64</v>
      </c>
      <c r="J12" s="28">
        <v>14</v>
      </c>
      <c r="K12" s="55">
        <v>8.1</v>
      </c>
      <c r="L12" s="52">
        <v>1.0490286771507862</v>
      </c>
      <c r="M12" s="5">
        <f>Tableau1[[#This Row],[Montant 
TVA]]-Tableau1[[#This Row],[ TVA ]]</f>
        <v>-9.7132284921452872E-4</v>
      </c>
      <c r="N12" s="5">
        <f>Tableau1[[#This Row],[Montant ]]-Tableau1[[#This Row],[Montant 
TVA]]</f>
        <v>12.950971322849213</v>
      </c>
    </row>
    <row r="13" spans="1:14" x14ac:dyDescent="0.25">
      <c r="A13" s="25">
        <v>26</v>
      </c>
      <c r="B13" s="36">
        <v>45495</v>
      </c>
      <c r="C13" t="s">
        <v>52</v>
      </c>
      <c r="D13" t="s">
        <v>19</v>
      </c>
      <c r="E13" s="28">
        <v>19.55</v>
      </c>
      <c r="F13" s="30">
        <v>18.09</v>
      </c>
      <c r="G13" s="30">
        <f t="shared" si="0"/>
        <v>1.4600000000000009</v>
      </c>
      <c r="H13" s="40">
        <f>100/Tableau1[[#This Row],[Total HT]]*Tableau1[[#This Row],[ TVA ]]</f>
        <v>8.0707573244886728</v>
      </c>
      <c r="I13" t="s">
        <v>64</v>
      </c>
      <c r="J13" s="28">
        <v>19.55</v>
      </c>
      <c r="K13" s="55">
        <v>8.1</v>
      </c>
      <c r="L13" s="52">
        <v>1.4648936170212765</v>
      </c>
      <c r="M13" s="5">
        <f>Tableau1[[#This Row],[Montant 
TVA]]-Tableau1[[#This Row],[ TVA ]]</f>
        <v>4.8936170212756647E-3</v>
      </c>
      <c r="N13" s="5">
        <f>Tableau1[[#This Row],[Montant ]]-Tableau1[[#This Row],[Montant 
TVA]]</f>
        <v>18.085106382978726</v>
      </c>
    </row>
    <row r="14" spans="1:14" x14ac:dyDescent="0.25">
      <c r="A14" s="25">
        <v>2</v>
      </c>
      <c r="B14" s="36">
        <v>45475</v>
      </c>
      <c r="C14" t="s">
        <v>30</v>
      </c>
      <c r="D14" t="s">
        <v>19</v>
      </c>
      <c r="E14" s="28">
        <v>3</v>
      </c>
      <c r="F14" s="30">
        <v>2.7800000000000002</v>
      </c>
      <c r="G14" s="41">
        <f t="shared" si="0"/>
        <v>0.21999999999999975</v>
      </c>
      <c r="H14" s="40">
        <f>100/Tableau1[[#This Row],[Total HT]]*Tableau1[[#This Row],[ TVA ]]</f>
        <v>7.9136690647481913</v>
      </c>
      <c r="I14" t="s">
        <v>15</v>
      </c>
      <c r="J14" s="28">
        <v>3</v>
      </c>
      <c r="K14" s="55">
        <v>8.1</v>
      </c>
      <c r="L14" s="52">
        <v>0.2247918593894542</v>
      </c>
      <c r="M14" s="5">
        <f>Tableau1[[#This Row],[Montant 
TVA]]-Tableau1[[#This Row],[ TVA ]]</f>
        <v>4.7918593894544503E-3</v>
      </c>
      <c r="N14" s="5">
        <f>Tableau1[[#This Row],[Montant ]]-Tableau1[[#This Row],[Montant 
TVA]]</f>
        <v>2.775208140610546</v>
      </c>
    </row>
    <row r="15" spans="1:14" x14ac:dyDescent="0.25">
      <c r="A15" s="25">
        <v>9</v>
      </c>
      <c r="B15" s="36">
        <v>45477</v>
      </c>
      <c r="C15" t="s">
        <v>37</v>
      </c>
      <c r="D15" t="s">
        <v>19</v>
      </c>
      <c r="E15" s="28">
        <v>0.8</v>
      </c>
      <c r="F15" s="30">
        <v>0.8</v>
      </c>
      <c r="G15" s="30">
        <f t="shared" si="0"/>
        <v>0</v>
      </c>
      <c r="H15" s="40">
        <f>100/Tableau1[[#This Row],[Total HT]]*Tableau1[[#This Row],[ TVA ]]</f>
        <v>0</v>
      </c>
      <c r="I15" t="s">
        <v>15</v>
      </c>
      <c r="J15" s="28">
        <v>0.8</v>
      </c>
      <c r="K15" s="55">
        <v>0</v>
      </c>
      <c r="L15" s="52">
        <v>0</v>
      </c>
      <c r="M15" s="5">
        <f>Tableau1[[#This Row],[Montant 
TVA]]-Tableau1[[#This Row],[ TVA ]]</f>
        <v>0</v>
      </c>
      <c r="N15" s="5">
        <f>Tableau1[[#This Row],[Montant ]]-Tableau1[[#This Row],[Montant 
TVA]]</f>
        <v>0.8</v>
      </c>
    </row>
    <row r="16" spans="1:14" x14ac:dyDescent="0.25">
      <c r="A16" s="25">
        <v>15</v>
      </c>
      <c r="B16" s="36">
        <v>45484</v>
      </c>
      <c r="C16" t="s">
        <v>43</v>
      </c>
      <c r="D16" t="s">
        <v>19</v>
      </c>
      <c r="E16" s="28">
        <v>4.51</v>
      </c>
      <c r="F16" s="30">
        <v>4.51</v>
      </c>
      <c r="G16" s="30">
        <f t="shared" si="0"/>
        <v>0</v>
      </c>
      <c r="H16" s="40">
        <f>100/Tableau1[[#This Row],[Total HT]]*Tableau1[[#This Row],[ TVA ]]</f>
        <v>0</v>
      </c>
      <c r="I16" t="s">
        <v>15</v>
      </c>
      <c r="J16" s="28">
        <v>4.51</v>
      </c>
      <c r="K16" s="55">
        <v>0</v>
      </c>
      <c r="L16" s="52">
        <v>0</v>
      </c>
      <c r="M16" s="5">
        <f>Tableau1[[#This Row],[Montant 
TVA]]-Tableau1[[#This Row],[ TVA ]]</f>
        <v>0</v>
      </c>
      <c r="N16" s="5">
        <f>Tableau1[[#This Row],[Montant ]]-Tableau1[[#This Row],[Montant 
TVA]]</f>
        <v>4.51</v>
      </c>
    </row>
    <row r="17" spans="1:14" x14ac:dyDescent="0.25">
      <c r="A17" s="25">
        <v>18</v>
      </c>
      <c r="B17" s="36">
        <v>45491</v>
      </c>
      <c r="C17" t="s">
        <v>46</v>
      </c>
      <c r="D17" t="s">
        <v>19</v>
      </c>
      <c r="E17" s="28">
        <v>1.9</v>
      </c>
      <c r="F17" s="30">
        <v>1.9</v>
      </c>
      <c r="G17" s="30">
        <f t="shared" si="0"/>
        <v>0</v>
      </c>
      <c r="H17" s="40">
        <f>100/Tableau1[[#This Row],[Total HT]]*Tableau1[[#This Row],[ TVA ]]</f>
        <v>0</v>
      </c>
      <c r="I17" t="s">
        <v>15</v>
      </c>
      <c r="J17" s="28">
        <v>1.9</v>
      </c>
      <c r="K17" s="55">
        <v>0</v>
      </c>
      <c r="L17" s="52">
        <v>0</v>
      </c>
      <c r="M17" s="5">
        <f>Tableau1[[#This Row],[Montant 
TVA]]-Tableau1[[#This Row],[ TVA ]]</f>
        <v>0</v>
      </c>
      <c r="N17" s="5">
        <f>Tableau1[[#This Row],[Montant ]]-Tableau1[[#This Row],[Montant 
TVA]]</f>
        <v>1.9</v>
      </c>
    </row>
    <row r="18" spans="1:14" x14ac:dyDescent="0.25">
      <c r="A18" s="25">
        <v>20</v>
      </c>
      <c r="B18" s="36">
        <v>45492</v>
      </c>
      <c r="C18" t="s">
        <v>43</v>
      </c>
      <c r="D18" t="s">
        <v>19</v>
      </c>
      <c r="E18" s="28">
        <v>2.7</v>
      </c>
      <c r="F18" s="30">
        <v>2.7</v>
      </c>
      <c r="G18" s="30">
        <f t="shared" si="0"/>
        <v>0</v>
      </c>
      <c r="H18" s="40">
        <f>100/Tableau1[[#This Row],[Total HT]]*Tableau1[[#This Row],[ TVA ]]</f>
        <v>0</v>
      </c>
      <c r="I18" t="s">
        <v>15</v>
      </c>
      <c r="J18" s="28">
        <v>2.7</v>
      </c>
      <c r="K18" s="55">
        <v>0</v>
      </c>
      <c r="L18" s="52">
        <v>0</v>
      </c>
      <c r="M18" s="5">
        <f>Tableau1[[#This Row],[Montant 
TVA]]-Tableau1[[#This Row],[ TVA ]]</f>
        <v>0</v>
      </c>
      <c r="N18" s="5">
        <f>Tableau1[[#This Row],[Montant ]]-Tableau1[[#This Row],[Montant 
TVA]]</f>
        <v>2.7</v>
      </c>
    </row>
    <row r="19" spans="1:14" x14ac:dyDescent="0.25">
      <c r="A19" s="25">
        <v>6</v>
      </c>
      <c r="B19" s="36">
        <v>45476</v>
      </c>
      <c r="C19" t="s">
        <v>34</v>
      </c>
      <c r="D19" t="s">
        <v>29</v>
      </c>
      <c r="E19" s="28">
        <v>161.9</v>
      </c>
      <c r="F19" s="30">
        <v>149.94</v>
      </c>
      <c r="G19" s="30">
        <f t="shared" si="0"/>
        <v>11.960000000000008</v>
      </c>
      <c r="H19" s="40">
        <f>100/Tableau1[[#This Row],[Total HT]]*Tableau1[[#This Row],[ TVA ]]</f>
        <v>7.9765239429105028</v>
      </c>
      <c r="I19" t="s">
        <v>69</v>
      </c>
      <c r="J19" s="28">
        <v>161.9</v>
      </c>
      <c r="K19" s="55" t="s">
        <v>61</v>
      </c>
      <c r="L19" s="52">
        <v>11.96</v>
      </c>
      <c r="M19" s="5">
        <f>Tableau1[[#This Row],[Montant 
TVA]]-Tableau1[[#This Row],[ TVA ]]</f>
        <v>0</v>
      </c>
      <c r="N19" s="5">
        <f>Tableau1[[#This Row],[Montant ]]-Tableau1[[#This Row],[Montant 
TVA]]</f>
        <v>149.94</v>
      </c>
    </row>
    <row r="20" spans="1:14" x14ac:dyDescent="0.25">
      <c r="A20" s="25">
        <v>1</v>
      </c>
      <c r="B20" s="36">
        <v>45474</v>
      </c>
      <c r="C20" t="s">
        <v>39</v>
      </c>
      <c r="D20" t="s">
        <v>20</v>
      </c>
      <c r="E20" s="28">
        <v>40.9</v>
      </c>
      <c r="F20" s="30">
        <v>37.840000000000003</v>
      </c>
      <c r="G20" s="30">
        <f t="shared" si="0"/>
        <v>3.0599999999999952</v>
      </c>
      <c r="H20" s="40">
        <f>100/Tableau1[[#This Row],[Total HT]]*Tableau1[[#This Row],[ TVA ]]</f>
        <v>8.0866807610993519</v>
      </c>
      <c r="I20" t="s">
        <v>6</v>
      </c>
      <c r="J20" s="28">
        <v>40.9</v>
      </c>
      <c r="K20" s="55">
        <v>8.1</v>
      </c>
      <c r="L20" s="52">
        <v>3.0646623496762255</v>
      </c>
      <c r="M20" s="5">
        <f>Tableau1[[#This Row],[Montant 
TVA]]-Tableau1[[#This Row],[ TVA ]]</f>
        <v>4.6623496762303596E-3</v>
      </c>
      <c r="N20" s="5">
        <f>Tableau1[[#This Row],[Montant ]]-Tableau1[[#This Row],[Montant 
TVA]]</f>
        <v>37.835337650323773</v>
      </c>
    </row>
    <row r="21" spans="1:14" x14ac:dyDescent="0.25">
      <c r="A21" s="25">
        <v>4</v>
      </c>
      <c r="B21" s="36">
        <v>45475</v>
      </c>
      <c r="C21" t="s">
        <v>32</v>
      </c>
      <c r="D21" t="s">
        <v>20</v>
      </c>
      <c r="E21" s="28">
        <v>70</v>
      </c>
      <c r="F21" s="30">
        <v>70</v>
      </c>
      <c r="G21" s="30">
        <f t="shared" si="0"/>
        <v>0</v>
      </c>
      <c r="H21" s="40">
        <f>100/Tableau1[[#This Row],[Total HT]]*Tableau1[[#This Row],[ TVA ]]</f>
        <v>0</v>
      </c>
      <c r="I21" t="s">
        <v>6</v>
      </c>
      <c r="J21" s="28">
        <v>70</v>
      </c>
      <c r="K21" s="55">
        <v>0</v>
      </c>
      <c r="L21" s="52">
        <v>0</v>
      </c>
      <c r="M21" s="5">
        <f>Tableau1[[#This Row],[Montant 
TVA]]-Tableau1[[#This Row],[ TVA ]]</f>
        <v>0</v>
      </c>
      <c r="N21" s="5">
        <f>Tableau1[[#This Row],[Montant ]]-Tableau1[[#This Row],[Montant 
TVA]]</f>
        <v>70</v>
      </c>
    </row>
    <row r="22" spans="1:14" x14ac:dyDescent="0.25">
      <c r="A22" s="25">
        <v>3</v>
      </c>
      <c r="B22" s="36">
        <v>45475</v>
      </c>
      <c r="C22" t="s">
        <v>31</v>
      </c>
      <c r="D22" t="s">
        <v>20</v>
      </c>
      <c r="E22" s="28">
        <v>8.6</v>
      </c>
      <c r="F22" s="30">
        <v>7.96</v>
      </c>
      <c r="G22" s="30">
        <f t="shared" si="0"/>
        <v>0.63999999999999968</v>
      </c>
      <c r="H22" s="40">
        <f>100/Tableau1[[#This Row],[Total HT]]*Tableau1[[#This Row],[ TVA ]]</f>
        <v>8.0402010050251214</v>
      </c>
      <c r="I22" t="s">
        <v>6</v>
      </c>
      <c r="J22" s="28">
        <v>8.6</v>
      </c>
      <c r="K22" s="55">
        <v>8.1</v>
      </c>
      <c r="L22" s="52">
        <v>0.6444033302497687</v>
      </c>
      <c r="M22" s="5">
        <f>Tableau1[[#This Row],[Montant 
TVA]]-Tableau1[[#This Row],[ TVA ]]</f>
        <v>4.4033302497690219E-3</v>
      </c>
      <c r="N22" s="5">
        <f>Tableau1[[#This Row],[Montant ]]-Tableau1[[#This Row],[Montant 
TVA]]</f>
        <v>7.9555966697502312</v>
      </c>
    </row>
    <row r="23" spans="1:14" x14ac:dyDescent="0.25">
      <c r="A23" s="25">
        <v>5</v>
      </c>
      <c r="B23" s="36">
        <v>45476</v>
      </c>
      <c r="C23" t="s">
        <v>33</v>
      </c>
      <c r="D23" t="s">
        <v>20</v>
      </c>
      <c r="E23" s="28">
        <v>178</v>
      </c>
      <c r="F23" s="30">
        <v>164.66</v>
      </c>
      <c r="G23" s="30">
        <f t="shared" si="0"/>
        <v>13.340000000000003</v>
      </c>
      <c r="H23" s="40">
        <f>100/Tableau1[[#This Row],[Total HT]]*Tableau1[[#This Row],[ TVA ]]</f>
        <v>8.1015425725737895</v>
      </c>
      <c r="I23" t="s">
        <v>6</v>
      </c>
      <c r="J23" s="28">
        <v>178</v>
      </c>
      <c r="K23" s="55">
        <v>8.1</v>
      </c>
      <c r="L23" s="52">
        <v>13.337650323774284</v>
      </c>
      <c r="M23" s="5">
        <f>Tableau1[[#This Row],[Montant 
TVA]]-Tableau1[[#This Row],[ TVA ]]</f>
        <v>-2.3496762257195769E-3</v>
      </c>
      <c r="N23" s="5">
        <f>Tableau1[[#This Row],[Montant ]]-Tableau1[[#This Row],[Montant 
TVA]]</f>
        <v>164.66234967622572</v>
      </c>
    </row>
    <row r="24" spans="1:14" x14ac:dyDescent="0.25">
      <c r="A24" s="25">
        <v>7</v>
      </c>
      <c r="B24" s="36">
        <v>45477</v>
      </c>
      <c r="C24" t="s">
        <v>35</v>
      </c>
      <c r="D24" t="s">
        <v>20</v>
      </c>
      <c r="E24" s="28">
        <v>53.7</v>
      </c>
      <c r="F24" s="30">
        <v>49.7</v>
      </c>
      <c r="G24" s="30">
        <f t="shared" si="0"/>
        <v>4</v>
      </c>
      <c r="H24" s="40">
        <f>100/Tableau1[[#This Row],[Total HT]]*Tableau1[[#This Row],[ TVA ]]</f>
        <v>8.0482897384305829</v>
      </c>
      <c r="I24" t="s">
        <v>6</v>
      </c>
      <c r="J24" s="28">
        <v>53.7</v>
      </c>
      <c r="K24" s="55">
        <v>8.1</v>
      </c>
      <c r="L24" s="52">
        <v>4.0237742830712309</v>
      </c>
      <c r="M24" s="5">
        <f>Tableau1[[#This Row],[Montant 
TVA]]-Tableau1[[#This Row],[ TVA ]]</f>
        <v>2.3774283071230862E-2</v>
      </c>
      <c r="N24" s="5">
        <f>Tableau1[[#This Row],[Montant ]]-Tableau1[[#This Row],[Montant 
TVA]]</f>
        <v>49.676225716928769</v>
      </c>
    </row>
    <row r="25" spans="1:14" x14ac:dyDescent="0.25">
      <c r="A25" s="25">
        <v>8</v>
      </c>
      <c r="B25" s="36">
        <v>45477</v>
      </c>
      <c r="C25" t="s">
        <v>36</v>
      </c>
      <c r="D25" t="s">
        <v>20</v>
      </c>
      <c r="E25" s="28">
        <v>8.8000000000000007</v>
      </c>
      <c r="F25" s="30">
        <v>8.14</v>
      </c>
      <c r="G25" s="30">
        <f t="shared" si="0"/>
        <v>0.66000000000000014</v>
      </c>
      <c r="H25" s="40">
        <f>100/Tableau1[[#This Row],[Total HT]]*Tableau1[[#This Row],[ TVA ]]</f>
        <v>8.1081081081081088</v>
      </c>
      <c r="I25" t="s">
        <v>6</v>
      </c>
      <c r="J25" s="28">
        <v>8.8000000000000007</v>
      </c>
      <c r="K25" s="55">
        <v>8.1</v>
      </c>
      <c r="L25" s="52">
        <v>0.65938945420906581</v>
      </c>
      <c r="M25" s="5">
        <f>Tableau1[[#This Row],[Montant 
TVA]]-Tableau1[[#This Row],[ TVA ]]</f>
        <v>-6.1054579093433592E-4</v>
      </c>
      <c r="N25" s="5">
        <f>Tableau1[[#This Row],[Montant ]]-Tableau1[[#This Row],[Montant 
TVA]]</f>
        <v>8.1406105457909348</v>
      </c>
    </row>
    <row r="26" spans="1:14" x14ac:dyDescent="0.25">
      <c r="A26" s="25">
        <v>10</v>
      </c>
      <c r="B26" s="36">
        <v>45478</v>
      </c>
      <c r="C26" t="s">
        <v>38</v>
      </c>
      <c r="D26" t="s">
        <v>20</v>
      </c>
      <c r="E26" s="28">
        <v>11.4</v>
      </c>
      <c r="F26" s="30">
        <v>10.55</v>
      </c>
      <c r="G26" s="30">
        <f t="shared" si="0"/>
        <v>0.84999999999999964</v>
      </c>
      <c r="H26" s="40">
        <f>100/Tableau1[[#This Row],[Total HT]]*Tableau1[[#This Row],[ TVA ]]</f>
        <v>8.0568720379146885</v>
      </c>
      <c r="I26" t="s">
        <v>6</v>
      </c>
      <c r="J26" s="28">
        <v>11.4</v>
      </c>
      <c r="K26" s="55">
        <v>8.1</v>
      </c>
      <c r="L26" s="52">
        <v>0.85420906567992605</v>
      </c>
      <c r="M26" s="5">
        <f>Tableau1[[#This Row],[Montant 
TVA]]-Tableau1[[#This Row],[ TVA ]]</f>
        <v>4.2090656799264048E-3</v>
      </c>
      <c r="N26" s="5">
        <f>Tableau1[[#This Row],[Montant ]]-Tableau1[[#This Row],[Montant 
TVA]]</f>
        <v>10.545790934320074</v>
      </c>
    </row>
    <row r="27" spans="1:14" x14ac:dyDescent="0.25">
      <c r="A27" s="25">
        <v>13</v>
      </c>
      <c r="B27" s="36">
        <v>45482</v>
      </c>
      <c r="C27" t="s">
        <v>41</v>
      </c>
      <c r="D27" t="s">
        <v>20</v>
      </c>
      <c r="E27" s="28">
        <v>115.4</v>
      </c>
      <c r="F27" s="30">
        <v>107.08</v>
      </c>
      <c r="G27" s="30">
        <f t="shared" si="0"/>
        <v>8.3200000000000074</v>
      </c>
      <c r="H27" s="40">
        <f>100/Tableau1[[#This Row],[Total HT]]*Tableau1[[#This Row],[ TVA ]]</f>
        <v>7.7698916697796108</v>
      </c>
      <c r="I27" t="s">
        <v>6</v>
      </c>
      <c r="J27" s="28">
        <v>115.4</v>
      </c>
      <c r="K27" s="55" t="s">
        <v>61</v>
      </c>
      <c r="L27" s="52">
        <v>8.32</v>
      </c>
      <c r="M27" s="5">
        <f>Tableau1[[#This Row],[Montant 
TVA]]-Tableau1[[#This Row],[ TVA ]]</f>
        <v>0</v>
      </c>
      <c r="N27" s="5">
        <f>Tableau1[[#This Row],[Montant ]]-Tableau1[[#This Row],[Montant 
TVA]]</f>
        <v>107.08000000000001</v>
      </c>
    </row>
    <row r="28" spans="1:14" x14ac:dyDescent="0.25">
      <c r="A28" s="25">
        <v>14</v>
      </c>
      <c r="B28" s="36">
        <v>45484</v>
      </c>
      <c r="C28" t="s">
        <v>42</v>
      </c>
      <c r="D28" t="s">
        <v>20</v>
      </c>
      <c r="E28" s="28">
        <v>26</v>
      </c>
      <c r="F28" s="30">
        <v>24.05</v>
      </c>
      <c r="G28" s="30">
        <f t="shared" si="0"/>
        <v>1.9499999999999993</v>
      </c>
      <c r="H28" s="40">
        <f>100/Tableau1[[#This Row],[Total HT]]*Tableau1[[#This Row],[ TVA ]]</f>
        <v>8.1081081081081052</v>
      </c>
      <c r="I28" t="s">
        <v>6</v>
      </c>
      <c r="J28" s="28">
        <v>26</v>
      </c>
      <c r="K28" s="55">
        <v>8.1</v>
      </c>
      <c r="L28" s="52">
        <v>1.9481961147086031</v>
      </c>
      <c r="M28" s="5">
        <f>Tableau1[[#This Row],[Montant 
TVA]]-Tableau1[[#This Row],[ TVA ]]</f>
        <v>-1.80388529139619E-3</v>
      </c>
      <c r="N28" s="5">
        <f>Tableau1[[#This Row],[Montant ]]-Tableau1[[#This Row],[Montant 
TVA]]</f>
        <v>24.051803885291395</v>
      </c>
    </row>
    <row r="29" spans="1:14" x14ac:dyDescent="0.25">
      <c r="A29" s="25">
        <v>16</v>
      </c>
      <c r="B29" s="36">
        <v>45485</v>
      </c>
      <c r="C29" t="s">
        <v>44</v>
      </c>
      <c r="D29" t="s">
        <v>20</v>
      </c>
      <c r="E29" s="28">
        <v>69</v>
      </c>
      <c r="F29" s="30">
        <v>63.83</v>
      </c>
      <c r="G29" s="30">
        <f t="shared" si="0"/>
        <v>5.1700000000000017</v>
      </c>
      <c r="H29" s="40">
        <f>100/Tableau1[[#This Row],[Total HT]]*Tableau1[[#This Row],[ TVA ]]</f>
        <v>8.0996396678677769</v>
      </c>
      <c r="I29" t="s">
        <v>6</v>
      </c>
      <c r="J29" s="28">
        <v>69</v>
      </c>
      <c r="K29" s="55">
        <v>8.1</v>
      </c>
      <c r="L29" s="52">
        <v>5.1702127659574471</v>
      </c>
      <c r="M29" s="5">
        <f>Tableau1[[#This Row],[Montant 
TVA]]-Tableau1[[#This Row],[ TVA ]]</f>
        <v>2.1276595744534887E-4</v>
      </c>
      <c r="N29" s="5">
        <f>Tableau1[[#This Row],[Montant ]]-Tableau1[[#This Row],[Montant 
TVA]]</f>
        <v>63.829787234042556</v>
      </c>
    </row>
    <row r="30" spans="1:14" x14ac:dyDescent="0.25">
      <c r="A30" s="25">
        <v>19</v>
      </c>
      <c r="B30" s="36">
        <v>45492</v>
      </c>
      <c r="C30" t="s">
        <v>47</v>
      </c>
      <c r="D30" t="s">
        <v>20</v>
      </c>
      <c r="E30" s="28">
        <v>15.15</v>
      </c>
      <c r="F30" s="30">
        <v>14.77</v>
      </c>
      <c r="G30" s="30">
        <f t="shared" si="0"/>
        <v>0.38000000000000078</v>
      </c>
      <c r="H30" s="40">
        <f>100/Tableau1[[#This Row],[Total HT]]*Tableau1[[#This Row],[ TVA ]]</f>
        <v>2.572782667569403</v>
      </c>
      <c r="I30" t="s">
        <v>6</v>
      </c>
      <c r="J30" s="28">
        <v>15.15</v>
      </c>
      <c r="K30" s="55">
        <v>8.1</v>
      </c>
      <c r="L30" s="52">
        <v>1.1351988899167438</v>
      </c>
      <c r="M30" s="48">
        <f>Tableau1[[#This Row],[Montant 
TVA]]-Tableau1[[#This Row],[ TVA ]]</f>
        <v>0.755198889916743</v>
      </c>
      <c r="N30" s="5">
        <f>Tableau1[[#This Row],[Montant ]]-Tableau1[[#This Row],[Montant 
TVA]]</f>
        <v>14.014801110083257</v>
      </c>
    </row>
    <row r="31" spans="1:14" x14ac:dyDescent="0.25">
      <c r="A31" s="25">
        <v>21</v>
      </c>
      <c r="B31" s="36">
        <v>45493</v>
      </c>
      <c r="C31" s="49" t="s">
        <v>62</v>
      </c>
      <c r="D31" t="s">
        <v>20</v>
      </c>
      <c r="E31" s="28">
        <v>8</v>
      </c>
      <c r="F31" s="30">
        <v>7.4</v>
      </c>
      <c r="G31" s="30">
        <f t="shared" si="0"/>
        <v>0.59999999999999964</v>
      </c>
      <c r="H31" s="40">
        <f>100/Tableau1[[#This Row],[Total HT]]*Tableau1[[#This Row],[ TVA ]]</f>
        <v>8.1081081081081017</v>
      </c>
      <c r="I31" t="s">
        <v>6</v>
      </c>
      <c r="J31" s="28">
        <v>8</v>
      </c>
      <c r="K31" s="55">
        <v>8.1</v>
      </c>
      <c r="L31" s="52">
        <v>0.59944495837187783</v>
      </c>
      <c r="M31" s="5">
        <f>Tableau1[[#This Row],[Montant 
TVA]]-Tableau1[[#This Row],[ TVA ]]</f>
        <v>-5.5504162812181068E-4</v>
      </c>
      <c r="N31" s="5">
        <f>Tableau1[[#This Row],[Montant ]]-Tableau1[[#This Row],[Montant 
TVA]]</f>
        <v>7.4005550416281221</v>
      </c>
    </row>
    <row r="32" spans="1:14" x14ac:dyDescent="0.25">
      <c r="A32" s="25">
        <v>23</v>
      </c>
      <c r="B32" s="36">
        <v>45493</v>
      </c>
      <c r="C32" t="s">
        <v>49</v>
      </c>
      <c r="D32" t="s">
        <v>20</v>
      </c>
      <c r="E32" s="28">
        <v>19.899999999999999</v>
      </c>
      <c r="F32" s="30">
        <v>18.41</v>
      </c>
      <c r="G32" s="30">
        <f t="shared" si="0"/>
        <v>1.4899999999999984</v>
      </c>
      <c r="H32" s="40">
        <f>100/Tableau1[[#This Row],[Total HT]]*Tableau1[[#This Row],[ TVA ]]</f>
        <v>8.0934274850624579</v>
      </c>
      <c r="I32" t="s">
        <v>6</v>
      </c>
      <c r="J32" s="28">
        <v>19.899999999999999</v>
      </c>
      <c r="K32" s="55">
        <v>8.1</v>
      </c>
      <c r="L32" s="52">
        <v>1.4911193339500461</v>
      </c>
      <c r="M32" s="5">
        <f>Tableau1[[#This Row],[Montant 
TVA]]-Tableau1[[#This Row],[ TVA ]]</f>
        <v>1.1193339500477073E-3</v>
      </c>
      <c r="N32" s="5">
        <f>Tableau1[[#This Row],[Montant ]]-Tableau1[[#This Row],[Montant 
TVA]]</f>
        <v>18.408880666049953</v>
      </c>
    </row>
    <row r="33" spans="1:15" x14ac:dyDescent="0.25">
      <c r="A33" s="25">
        <v>25</v>
      </c>
      <c r="B33" s="36">
        <v>45495</v>
      </c>
      <c r="C33" t="s">
        <v>51</v>
      </c>
      <c r="D33" t="s">
        <v>20</v>
      </c>
      <c r="E33" s="28">
        <v>44</v>
      </c>
      <c r="F33" s="30">
        <v>40.700000000000003</v>
      </c>
      <c r="G33" s="30">
        <f t="shared" si="0"/>
        <v>3.2999999999999972</v>
      </c>
      <c r="H33" s="40">
        <f>100/Tableau1[[#This Row],[Total HT]]*Tableau1[[#This Row],[ TVA ]]</f>
        <v>8.1081081081080999</v>
      </c>
      <c r="I33" t="s">
        <v>6</v>
      </c>
      <c r="J33" s="28">
        <v>44</v>
      </c>
      <c r="K33" s="55">
        <v>8.1</v>
      </c>
      <c r="L33" s="52">
        <v>3.2969472710453287</v>
      </c>
      <c r="M33" s="5">
        <f>Tableau1[[#This Row],[Montant 
TVA]]-Tableau1[[#This Row],[ TVA ]]</f>
        <v>-3.0527289546684599E-3</v>
      </c>
      <c r="N33" s="5">
        <f>Tableau1[[#This Row],[Montant ]]-Tableau1[[#This Row],[Montant 
TVA]]</f>
        <v>40.703052728954674</v>
      </c>
    </row>
    <row r="34" spans="1:15" x14ac:dyDescent="0.25">
      <c r="A34" s="25">
        <v>27</v>
      </c>
      <c r="B34" s="36">
        <v>45499</v>
      </c>
      <c r="C34" t="s">
        <v>53</v>
      </c>
      <c r="D34" t="s">
        <v>20</v>
      </c>
      <c r="E34" s="28">
        <v>126.3</v>
      </c>
      <c r="F34" s="30">
        <v>126.3</v>
      </c>
      <c r="G34" s="30">
        <f t="shared" si="0"/>
        <v>0</v>
      </c>
      <c r="H34" s="40">
        <f>100/Tableau1[[#This Row],[Total HT]]*Tableau1[[#This Row],[ TVA ]]</f>
        <v>0</v>
      </c>
      <c r="I34" t="s">
        <v>6</v>
      </c>
      <c r="J34" s="28">
        <v>126.3</v>
      </c>
      <c r="K34" s="55">
        <v>0</v>
      </c>
      <c r="L34" s="52">
        <v>0</v>
      </c>
      <c r="M34" s="5">
        <f>Tableau1[[#This Row],[Montant 
TVA]]-Tableau1[[#This Row],[ TVA ]]</f>
        <v>0</v>
      </c>
      <c r="N34" s="5">
        <f>Tableau1[[#This Row],[Montant ]]-Tableau1[[#This Row],[Montant 
TVA]]</f>
        <v>126.3</v>
      </c>
    </row>
    <row r="35" spans="1:15" x14ac:dyDescent="0.25">
      <c r="A35" s="25">
        <v>28</v>
      </c>
      <c r="B35" s="36">
        <v>45500</v>
      </c>
      <c r="C35" t="s">
        <v>54</v>
      </c>
      <c r="D35" t="s">
        <v>29</v>
      </c>
      <c r="E35" s="28">
        <v>105</v>
      </c>
      <c r="F35" s="30">
        <v>105</v>
      </c>
      <c r="G35" s="30">
        <f t="shared" si="0"/>
        <v>0</v>
      </c>
      <c r="H35" s="40">
        <f>100/Tableau1[[#This Row],[Total HT]]*Tableau1[[#This Row],[ TVA ]]</f>
        <v>0</v>
      </c>
      <c r="I35" t="s">
        <v>6</v>
      </c>
      <c r="J35" s="28">
        <v>105</v>
      </c>
      <c r="K35" s="55">
        <v>0</v>
      </c>
      <c r="L35" s="52">
        <v>0</v>
      </c>
      <c r="M35" s="5">
        <f>Tableau1[[#This Row],[Montant 
TVA]]-Tableau1[[#This Row],[ TVA ]]</f>
        <v>0</v>
      </c>
      <c r="N35" s="5">
        <f>Tableau1[[#This Row],[Montant ]]-Tableau1[[#This Row],[Montant 
TVA]]</f>
        <v>105</v>
      </c>
    </row>
    <row r="36" spans="1:15" x14ac:dyDescent="0.25">
      <c r="A36" s="25">
        <v>31</v>
      </c>
      <c r="B36" s="36">
        <v>45503</v>
      </c>
      <c r="C36" t="s">
        <v>56</v>
      </c>
      <c r="D36" t="s">
        <v>20</v>
      </c>
      <c r="E36" s="28">
        <v>11.7</v>
      </c>
      <c r="F36" s="30">
        <v>11.7</v>
      </c>
      <c r="G36" s="30">
        <f t="shared" si="0"/>
        <v>0</v>
      </c>
      <c r="H36" s="40">
        <f>100/Tableau1[[#This Row],[Total HT]]*Tableau1[[#This Row],[ TVA ]]</f>
        <v>0</v>
      </c>
      <c r="I36" t="s">
        <v>6</v>
      </c>
      <c r="J36" s="28">
        <v>11.7</v>
      </c>
      <c r="K36" s="55">
        <v>8.1</v>
      </c>
      <c r="L36" s="52">
        <v>0.87668825161887143</v>
      </c>
      <c r="M36" s="5">
        <f>Tableau1[[#This Row],[Montant 
TVA]]-Tableau1[[#This Row],[ TVA ]]</f>
        <v>0.87668825161887143</v>
      </c>
      <c r="N36" s="5">
        <f>Tableau1[[#This Row],[Montant ]]-Tableau1[[#This Row],[Montant 
TVA]]</f>
        <v>10.823311748381128</v>
      </c>
    </row>
    <row r="37" spans="1:15" x14ac:dyDescent="0.25">
      <c r="A37" s="25">
        <v>32</v>
      </c>
      <c r="B37" s="36">
        <v>45503</v>
      </c>
      <c r="C37" t="s">
        <v>57</v>
      </c>
      <c r="D37" t="s">
        <v>20</v>
      </c>
      <c r="E37" s="28">
        <v>62.4</v>
      </c>
      <c r="F37" s="30">
        <v>57.72</v>
      </c>
      <c r="G37" s="30">
        <f t="shared" si="0"/>
        <v>4.68</v>
      </c>
      <c r="H37" s="40">
        <f>100/Tableau1[[#This Row],[Total HT]]*Tableau1[[#This Row],[ TVA ]]</f>
        <v>8.108108108108107</v>
      </c>
      <c r="I37" t="s">
        <v>6</v>
      </c>
      <c r="J37" s="28">
        <v>62.4</v>
      </c>
      <c r="K37" s="55">
        <v>8.1</v>
      </c>
      <c r="L37" s="52">
        <v>4.6756706753006476</v>
      </c>
      <c r="M37" s="5">
        <f>Tableau1[[#This Row],[Montant 
TVA]]-Tableau1[[#This Row],[ TVA ]]</f>
        <v>-4.3293246993520995E-3</v>
      </c>
      <c r="N37" s="5">
        <f>Tableau1[[#This Row],[Montant ]]-Tableau1[[#This Row],[Montant 
TVA]]</f>
        <v>57.724329324699355</v>
      </c>
    </row>
    <row r="38" spans="1:15" x14ac:dyDescent="0.25">
      <c r="A38" s="25">
        <v>33</v>
      </c>
      <c r="B38" s="36">
        <v>45504</v>
      </c>
      <c r="C38" t="s">
        <v>58</v>
      </c>
      <c r="D38" t="s">
        <v>20</v>
      </c>
      <c r="E38" s="28">
        <v>182.1</v>
      </c>
      <c r="F38" s="30">
        <v>177.5</v>
      </c>
      <c r="G38" s="30">
        <f t="shared" si="0"/>
        <v>4.5999999999999943</v>
      </c>
      <c r="H38" s="40">
        <f>100/Tableau1[[#This Row],[Total HT]]*Tableau1[[#This Row],[ TVA ]]</f>
        <v>2.5915492957746449</v>
      </c>
      <c r="I38" t="s">
        <v>6</v>
      </c>
      <c r="J38" s="28">
        <v>182.1</v>
      </c>
      <c r="K38" s="55">
        <v>8.1</v>
      </c>
      <c r="L38" s="52">
        <v>13.64486586493987</v>
      </c>
      <c r="M38" s="48">
        <f>Tableau1[[#This Row],[Montant 
TVA]]-Tableau1[[#This Row],[ TVA ]]</f>
        <v>9.0448658649398759</v>
      </c>
      <c r="N38" s="5">
        <f>Tableau1[[#This Row],[Montant ]]-Tableau1[[#This Row],[Montant 
TVA]]</f>
        <v>168.45513413506012</v>
      </c>
    </row>
    <row r="39" spans="1:15" x14ac:dyDescent="0.25">
      <c r="A39" s="43"/>
      <c r="B39" s="43"/>
      <c r="C39" s="44"/>
      <c r="D39" s="44"/>
      <c r="E39" s="45">
        <f>SUBTOTAL(9,Tableau1[Total])</f>
        <v>1849.9600000000003</v>
      </c>
      <c r="F39" s="45">
        <f>SUBTOTAL(9,Tableau1[Total HT])</f>
        <v>1762.7900000000002</v>
      </c>
      <c r="G39" s="45">
        <f>SUBTOTAL(9,Tableau1[[ TVA ]])</f>
        <v>87.169999999999959</v>
      </c>
      <c r="H39" s="45"/>
      <c r="I39" s="45"/>
      <c r="J39" s="45">
        <f>SUBTOTAL(9,Tableau1[[Montant ]])</f>
        <v>1849.9600000000003</v>
      </c>
      <c r="K39" s="57"/>
      <c r="L39" s="53">
        <f>SUBTOTAL(9,Tableau1[Montant 
TVA])-0.01</f>
        <v>98.042502658575117</v>
      </c>
      <c r="M39" s="45">
        <f>SUBTOTAL(9,Tableau1[Diff.])</f>
        <v>10.882502658575168</v>
      </c>
      <c r="N39" s="45">
        <f>SUBTOTAL(9,Tableau1[Montant 
NET])+0.01</f>
        <v>1751.9174973414249</v>
      </c>
      <c r="O39" s="5"/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00E9-64EA-4B3D-83BB-842C86140CDA}">
  <sheetPr>
    <pageSetUpPr fitToPage="1"/>
  </sheetPr>
  <dimension ref="A1:N42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9" sqref="C19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30.85546875" customWidth="1"/>
    <col min="4" max="4" width="7.5703125" customWidth="1" outlineLevel="1"/>
    <col min="5" max="5" width="8.7109375" style="34" customWidth="1" outlineLevel="1"/>
    <col min="6" max="6" width="8.7109375" customWidth="1" outlineLevel="1"/>
    <col min="7" max="7" width="8.7109375" style="82" customWidth="1" outlineLevel="1"/>
    <col min="8" max="8" width="8.28515625" style="85" customWidth="1" outlineLevel="1"/>
    <col min="9" max="9" width="21.7109375" customWidth="1"/>
    <col min="10" max="10" width="14.140625" style="34" customWidth="1"/>
    <col min="11" max="11" width="12.28515625" customWidth="1"/>
    <col min="12" max="12" width="9.85546875" style="49" customWidth="1"/>
    <col min="13" max="13" width="9.85546875" style="61" customWidth="1"/>
  </cols>
  <sheetData>
    <row r="1" spans="1:13" x14ac:dyDescent="0.25">
      <c r="A1" s="25" t="s">
        <v>21</v>
      </c>
    </row>
    <row r="2" spans="1:13" x14ac:dyDescent="0.25">
      <c r="A2" s="25" t="s">
        <v>76</v>
      </c>
    </row>
    <row r="5" spans="1:13" s="34" customFormat="1" ht="45" x14ac:dyDescent="0.25">
      <c r="A5" s="65" t="s">
        <v>23</v>
      </c>
      <c r="B5" s="65" t="s">
        <v>24</v>
      </c>
      <c r="C5" s="66" t="s">
        <v>25</v>
      </c>
      <c r="D5" s="67" t="s">
        <v>75</v>
      </c>
      <c r="E5" s="68" t="s">
        <v>86</v>
      </c>
      <c r="F5" s="68" t="s">
        <v>26</v>
      </c>
      <c r="G5" s="84" t="s">
        <v>95</v>
      </c>
      <c r="H5" s="86" t="s">
        <v>94</v>
      </c>
      <c r="I5" s="69" t="s">
        <v>73</v>
      </c>
      <c r="J5" s="70" t="s">
        <v>72</v>
      </c>
      <c r="K5" s="72" t="s">
        <v>74</v>
      </c>
      <c r="L5" s="71" t="s">
        <v>71</v>
      </c>
      <c r="M5" s="81" t="s">
        <v>87</v>
      </c>
    </row>
    <row r="6" spans="1:13" x14ac:dyDescent="0.25">
      <c r="A6" s="25">
        <v>1</v>
      </c>
      <c r="B6" s="36">
        <v>45509</v>
      </c>
      <c r="C6" t="s">
        <v>77</v>
      </c>
      <c r="D6" t="s">
        <v>20</v>
      </c>
      <c r="E6" s="59">
        <v>656.15</v>
      </c>
      <c r="F6" s="30">
        <v>596.5</v>
      </c>
      <c r="G6" s="83">
        <f t="shared" ref="G6:G23" si="0">E6-F6</f>
        <v>59.649999999999977</v>
      </c>
      <c r="H6" s="87">
        <f>100/(Tableau13[[#This Row],[Total TTC]]-Tableau13[[#This Row],[TVA]])*Tableau13[[#This Row],[TVA]]</f>
        <v>9.9999999999999964</v>
      </c>
      <c r="I6" t="s">
        <v>11</v>
      </c>
      <c r="J6" s="28">
        <v>596.5</v>
      </c>
      <c r="K6" s="5">
        <f>Tableau13[[#This Row],[Montant ]]-Tableau13[[#This Row],[Montant 
TVA]]</f>
        <v>553.85</v>
      </c>
      <c r="L6" s="52">
        <v>42.65</v>
      </c>
      <c r="M6" s="62">
        <f>100/(Tableau13[[#This Row],[Montant ]]-Tableau13[[#This Row],[Montant 
TVA]])*Tableau13[[#This Row],[Montant 
TVA]]</f>
        <v>7.700640967771057</v>
      </c>
    </row>
    <row r="7" spans="1:13" x14ac:dyDescent="0.25">
      <c r="A7" s="25">
        <v>2</v>
      </c>
      <c r="B7" s="36">
        <v>45509</v>
      </c>
      <c r="C7" t="s">
        <v>51</v>
      </c>
      <c r="D7" t="s">
        <v>20</v>
      </c>
      <c r="E7" s="28">
        <v>28</v>
      </c>
      <c r="F7" s="30">
        <v>25.9</v>
      </c>
      <c r="G7" s="83">
        <f t="shared" si="0"/>
        <v>2.1000000000000014</v>
      </c>
      <c r="H7" s="88">
        <f>100/(Tableau13[[#This Row],[Total TTC]]-Tableau13[[#This Row],[TVA]])*Tableau13[[#This Row],[TVA]]</f>
        <v>8.1081081081081141</v>
      </c>
      <c r="I7" t="s">
        <v>11</v>
      </c>
      <c r="J7" s="28">
        <v>28</v>
      </c>
      <c r="K7" s="5">
        <f>Tableau13[[#This Row],[Montant ]]-Tableau13[[#This Row],[Montant 
TVA]]</f>
        <v>25.9</v>
      </c>
      <c r="L7" s="52">
        <f>Tableau13[[#This Row],[TVA]]</f>
        <v>2.1000000000000014</v>
      </c>
      <c r="M7" s="63">
        <f>100/(Tableau13[[#This Row],[Montant ]]-Tableau13[[#This Row],[Montant 
TVA]])*Tableau13[[#This Row],[Montant 
TVA]]</f>
        <v>8.1081081081081141</v>
      </c>
    </row>
    <row r="8" spans="1:13" x14ac:dyDescent="0.25">
      <c r="A8" s="25">
        <v>3</v>
      </c>
      <c r="B8" s="36">
        <v>45509</v>
      </c>
      <c r="C8" t="s">
        <v>78</v>
      </c>
      <c r="D8" t="s">
        <v>29</v>
      </c>
      <c r="E8" s="28">
        <v>11</v>
      </c>
      <c r="F8" s="30">
        <v>10.72</v>
      </c>
      <c r="G8" s="83">
        <f t="shared" si="0"/>
        <v>0.27999999999999936</v>
      </c>
      <c r="H8" s="88">
        <f>100/(Tableau13[[#This Row],[Total TTC]]-Tableau13[[#This Row],[TVA]])*Tableau13[[#This Row],[TVA]]</f>
        <v>2.6119402985074562</v>
      </c>
      <c r="I8" t="s">
        <v>88</v>
      </c>
      <c r="J8" s="28">
        <v>11</v>
      </c>
      <c r="K8" s="5">
        <f>Tableau13[[#This Row],[Montant ]]-Tableau13[[#This Row],[Montant 
TVA]]</f>
        <v>10.72</v>
      </c>
      <c r="L8" s="52">
        <f>Tableau13[[#This Row],[TVA]]</f>
        <v>0.27999999999999936</v>
      </c>
      <c r="M8" s="63">
        <f>100/(Tableau13[[#This Row],[Montant ]]-Tableau13[[#This Row],[Montant 
TVA]])*Tableau13[[#This Row],[Montant 
TVA]]</f>
        <v>2.6119402985074562</v>
      </c>
    </row>
    <row r="9" spans="1:13" x14ac:dyDescent="0.25">
      <c r="A9" s="25">
        <v>4</v>
      </c>
      <c r="B9" s="36">
        <v>45509</v>
      </c>
      <c r="C9" t="s">
        <v>52</v>
      </c>
      <c r="D9" t="s">
        <v>29</v>
      </c>
      <c r="E9" s="28">
        <v>14</v>
      </c>
      <c r="F9" s="30">
        <v>12.95</v>
      </c>
      <c r="G9" s="83">
        <f t="shared" si="0"/>
        <v>1.0500000000000007</v>
      </c>
      <c r="H9" s="88">
        <f>100/(Tableau13[[#This Row],[Total TTC]]-Tableau13[[#This Row],[TVA]])*Tableau13[[#This Row],[TVA]]</f>
        <v>8.1081081081081141</v>
      </c>
      <c r="I9" t="s">
        <v>64</v>
      </c>
      <c r="J9" s="28">
        <v>14</v>
      </c>
      <c r="K9" s="5">
        <f>Tableau13[[#This Row],[Montant ]]-Tableau13[[#This Row],[Montant 
TVA]]</f>
        <v>12.95</v>
      </c>
      <c r="L9" s="52">
        <f>Tableau13[[#This Row],[TVA]]</f>
        <v>1.0500000000000007</v>
      </c>
      <c r="M9" s="63">
        <f>100/(Tableau13[[#This Row],[Montant ]]-Tableau13[[#This Row],[Montant 
TVA]])*Tableau13[[#This Row],[Montant 
TVA]]</f>
        <v>8.1081081081081141</v>
      </c>
    </row>
    <row r="10" spans="1:13" x14ac:dyDescent="0.25">
      <c r="A10" s="25">
        <v>5</v>
      </c>
      <c r="B10" s="36">
        <v>45510</v>
      </c>
      <c r="C10" t="s">
        <v>79</v>
      </c>
      <c r="D10" t="s">
        <v>19</v>
      </c>
      <c r="E10" s="28">
        <v>4.4800000000000004</v>
      </c>
      <c r="F10" s="30">
        <v>4.47</v>
      </c>
      <c r="G10" s="83">
        <f t="shared" si="0"/>
        <v>1.0000000000000675E-2</v>
      </c>
      <c r="H10" s="87">
        <f>100/(Tableau13[[#This Row],[Total TTC]]-Tableau13[[#This Row],[TVA]])*Tableau13[[#This Row],[TVA]]</f>
        <v>0.22371364653245357</v>
      </c>
      <c r="I10" t="s">
        <v>15</v>
      </c>
      <c r="J10" s="60">
        <v>4.4800000000000004</v>
      </c>
      <c r="K10" s="5">
        <f>Tableau13[[#This Row],[Montant ]]-Tableau13[[#This Row],[Montant 
TVA]]</f>
        <v>4.4800000000000004</v>
      </c>
      <c r="L10" s="52">
        <v>0</v>
      </c>
      <c r="M10" s="63">
        <f>100/(Tableau13[[#This Row],[Montant ]]-Tableau13[[#This Row],[Montant 
TVA]])*Tableau13[[#This Row],[Montant 
TVA]]</f>
        <v>0</v>
      </c>
    </row>
    <row r="11" spans="1:13" x14ac:dyDescent="0.25">
      <c r="A11" s="25">
        <v>6</v>
      </c>
      <c r="B11" s="36">
        <v>45512</v>
      </c>
      <c r="C11" t="s">
        <v>51</v>
      </c>
      <c r="D11" t="s">
        <v>20</v>
      </c>
      <c r="E11" s="28">
        <v>18</v>
      </c>
      <c r="F11" s="30">
        <v>16.649999999999999</v>
      </c>
      <c r="G11" s="83">
        <f t="shared" si="0"/>
        <v>1.3500000000000014</v>
      </c>
      <c r="H11" s="88">
        <f>100/(Tableau13[[#This Row],[Total TTC]]-Tableau13[[#This Row],[TVA]])*Tableau13[[#This Row],[TVA]]</f>
        <v>8.1081081081081177</v>
      </c>
      <c r="I11" t="s">
        <v>11</v>
      </c>
      <c r="J11" s="60">
        <v>18</v>
      </c>
      <c r="K11" s="5">
        <f>Tableau13[[#This Row],[Montant ]]-Tableau13[[#This Row],[Montant 
TVA]]</f>
        <v>16.649999999999999</v>
      </c>
      <c r="L11" s="52">
        <f>Tableau13[[#This Row],[TVA]]</f>
        <v>1.3500000000000014</v>
      </c>
      <c r="M11" s="63">
        <f>100/(Tableau13[[#This Row],[Montant ]]-Tableau13[[#This Row],[Montant 
TVA]])*Tableau13[[#This Row],[Montant 
TVA]]</f>
        <v>8.1081081081081177</v>
      </c>
    </row>
    <row r="12" spans="1:13" x14ac:dyDescent="0.25">
      <c r="A12" s="25">
        <v>7</v>
      </c>
      <c r="B12" s="36">
        <v>45513</v>
      </c>
      <c r="C12" t="s">
        <v>80</v>
      </c>
      <c r="D12" t="s">
        <v>20</v>
      </c>
      <c r="E12" s="28">
        <v>155.19999999999999</v>
      </c>
      <c r="F12" s="30">
        <v>143.57</v>
      </c>
      <c r="G12" s="83">
        <f t="shared" si="0"/>
        <v>11.629999999999995</v>
      </c>
      <c r="H12" s="88">
        <f>100/(Tableau13[[#This Row],[Total TTC]]-Tableau13[[#This Row],[TVA]])*Tableau13[[#This Row],[TVA]]</f>
        <v>8.1005781152051242</v>
      </c>
      <c r="I12" t="s">
        <v>11</v>
      </c>
      <c r="J12" s="60">
        <v>155.19999999999999</v>
      </c>
      <c r="K12" s="5">
        <f>Tableau13[[#This Row],[Montant ]]-Tableau13[[#This Row],[Montant 
TVA]]</f>
        <v>143.57</v>
      </c>
      <c r="L12" s="52">
        <f>Tableau13[[#This Row],[TVA]]</f>
        <v>11.629999999999995</v>
      </c>
      <c r="M12" s="63">
        <f>100/(Tableau13[[#This Row],[Montant ]]-Tableau13[[#This Row],[Montant 
TVA]])*Tableau13[[#This Row],[Montant 
TVA]]</f>
        <v>8.1005781152051242</v>
      </c>
    </row>
    <row r="13" spans="1:13" x14ac:dyDescent="0.25">
      <c r="A13" s="25">
        <v>8</v>
      </c>
      <c r="B13" s="36">
        <v>45514</v>
      </c>
      <c r="C13" t="s">
        <v>78</v>
      </c>
      <c r="D13" t="s">
        <v>29</v>
      </c>
      <c r="E13" s="28">
        <v>11</v>
      </c>
      <c r="F13" s="30">
        <v>10.72</v>
      </c>
      <c r="G13" s="83">
        <f t="shared" si="0"/>
        <v>0.27999999999999936</v>
      </c>
      <c r="H13" s="88">
        <f>100/(Tableau13[[#This Row],[Total TTC]]-Tableau13[[#This Row],[TVA]])*Tableau13[[#This Row],[TVA]]</f>
        <v>2.6119402985074562</v>
      </c>
      <c r="I13" t="s">
        <v>88</v>
      </c>
      <c r="J13" s="60">
        <v>11</v>
      </c>
      <c r="K13" s="5">
        <f>Tableau13[[#This Row],[Montant ]]-Tableau13[[#This Row],[Montant 
TVA]]</f>
        <v>10.72</v>
      </c>
      <c r="L13" s="52">
        <f>Tableau13[[#This Row],[TVA]]</f>
        <v>0.27999999999999936</v>
      </c>
      <c r="M13" s="63">
        <f>100/(Tableau13[[#This Row],[Montant ]]-Tableau13[[#This Row],[Montant 
TVA]])*Tableau13[[#This Row],[Montant 
TVA]]</f>
        <v>2.6119402985074562</v>
      </c>
    </row>
    <row r="14" spans="1:13" x14ac:dyDescent="0.25">
      <c r="A14" s="25">
        <v>9</v>
      </c>
      <c r="B14" s="36">
        <v>45518</v>
      </c>
      <c r="C14" t="s">
        <v>81</v>
      </c>
      <c r="D14" t="s">
        <v>29</v>
      </c>
      <c r="E14" s="28">
        <v>14.21</v>
      </c>
      <c r="F14" s="30">
        <v>13.85</v>
      </c>
      <c r="G14" s="83">
        <f t="shared" si="0"/>
        <v>0.36000000000000121</v>
      </c>
      <c r="H14" s="88">
        <f>100/(Tableau13[[#This Row],[Total TTC]]-Tableau13[[#This Row],[TVA]])*Tableau13[[#This Row],[TVA]]</f>
        <v>2.5992779783393591</v>
      </c>
      <c r="I14" t="s">
        <v>11</v>
      </c>
      <c r="J14" s="60">
        <v>14.21</v>
      </c>
      <c r="K14" s="5">
        <f>Tableau13[[#This Row],[Montant ]]-Tableau13[[#This Row],[Montant 
TVA]]</f>
        <v>13.85</v>
      </c>
      <c r="L14" s="52">
        <f>Tableau13[[#This Row],[TVA]]</f>
        <v>0.36000000000000121</v>
      </c>
      <c r="M14" s="63">
        <f>100/(Tableau13[[#This Row],[Montant ]]-Tableau13[[#This Row],[Montant 
TVA]])*Tableau13[[#This Row],[Montant 
TVA]]</f>
        <v>2.5992779783393591</v>
      </c>
    </row>
    <row r="15" spans="1:13" x14ac:dyDescent="0.25">
      <c r="A15" s="25">
        <v>10</v>
      </c>
      <c r="B15" s="36">
        <v>45524</v>
      </c>
      <c r="C15" t="s">
        <v>82</v>
      </c>
      <c r="D15" t="s">
        <v>20</v>
      </c>
      <c r="E15" s="28">
        <v>7.8</v>
      </c>
      <c r="F15" s="30">
        <v>7.22</v>
      </c>
      <c r="G15" s="83">
        <f t="shared" si="0"/>
        <v>0.58000000000000007</v>
      </c>
      <c r="H15" s="87">
        <f>100/(Tableau13[[#This Row],[Total TTC]]-Tableau13[[#This Row],[TVA]])*Tableau13[[#This Row],[TVA]]</f>
        <v>8.0332409972299192</v>
      </c>
      <c r="I15" t="s">
        <v>11</v>
      </c>
      <c r="J15" s="60">
        <v>7.8</v>
      </c>
      <c r="K15" s="5">
        <f>Tableau13[[#This Row],[Montant ]]-Tableau13[[#This Row],[Montant 
TVA]]</f>
        <v>7.22</v>
      </c>
      <c r="L15" s="52">
        <f>Tableau13[[#This Row],[TVA]]</f>
        <v>0.58000000000000007</v>
      </c>
      <c r="M15" s="63">
        <f>100/(Tableau13[[#This Row],[Montant ]]-Tableau13[[#This Row],[Montant 
TVA]])*Tableau13[[#This Row],[Montant 
TVA]]</f>
        <v>8.0332409972299192</v>
      </c>
    </row>
    <row r="16" spans="1:13" x14ac:dyDescent="0.25">
      <c r="A16" s="25">
        <v>11</v>
      </c>
      <c r="B16" s="36">
        <v>45524</v>
      </c>
      <c r="C16" t="s">
        <v>52</v>
      </c>
      <c r="D16" t="s">
        <v>19</v>
      </c>
      <c r="E16" s="28">
        <v>100</v>
      </c>
      <c r="F16" s="30">
        <v>100</v>
      </c>
      <c r="G16" s="83">
        <f t="shared" si="0"/>
        <v>0</v>
      </c>
      <c r="H16" s="89">
        <f>100/(Tableau13[[#This Row],[Total TTC]]-Tableau13[[#This Row],[TVA]])*Tableau13[[#This Row],[TVA]]</f>
        <v>0</v>
      </c>
      <c r="I16" t="s">
        <v>64</v>
      </c>
      <c r="J16" s="60">
        <v>100</v>
      </c>
      <c r="K16" s="5">
        <f>Tableau13[[#This Row],[Montant ]]-Tableau13[[#This Row],[Montant 
TVA]]</f>
        <v>100</v>
      </c>
      <c r="L16" s="52">
        <f>Tableau13[[#This Row],[TVA]]</f>
        <v>0</v>
      </c>
      <c r="M16" s="63">
        <f>100/(Tableau13[[#This Row],[Montant ]]-Tableau13[[#This Row],[Montant 
TVA]])*Tableau13[[#This Row],[Montant 
TVA]]</f>
        <v>0</v>
      </c>
    </row>
    <row r="17" spans="1:14" x14ac:dyDescent="0.25">
      <c r="A17" s="25">
        <v>12</v>
      </c>
      <c r="B17" s="36">
        <v>45524</v>
      </c>
      <c r="C17" t="s">
        <v>52</v>
      </c>
      <c r="D17" t="s">
        <v>19</v>
      </c>
      <c r="E17" s="28">
        <v>19.55</v>
      </c>
      <c r="F17" s="30">
        <v>18.09</v>
      </c>
      <c r="G17" s="83">
        <f t="shared" si="0"/>
        <v>1.4600000000000009</v>
      </c>
      <c r="H17" s="87">
        <f>100/(Tableau13[[#This Row],[Total TTC]]-Tableau13[[#This Row],[TVA]])*Tableau13[[#This Row],[TVA]]</f>
        <v>8.0707573244886728</v>
      </c>
      <c r="I17" t="s">
        <v>64</v>
      </c>
      <c r="J17" s="60">
        <v>19.55</v>
      </c>
      <c r="K17" s="5">
        <f>Tableau13[[#This Row],[Montant ]]-Tableau13[[#This Row],[Montant 
TVA]]</f>
        <v>18.09</v>
      </c>
      <c r="L17" s="52">
        <f>Tableau13[[#This Row],[TVA]]</f>
        <v>1.4600000000000009</v>
      </c>
      <c r="M17" s="63">
        <f>100/(Tableau13[[#This Row],[Montant ]]-Tableau13[[#This Row],[Montant 
TVA]])*Tableau13[[#This Row],[Montant 
TVA]]</f>
        <v>8.0707573244886728</v>
      </c>
    </row>
    <row r="18" spans="1:14" x14ac:dyDescent="0.25">
      <c r="A18" s="25">
        <v>13</v>
      </c>
      <c r="B18" s="36">
        <v>45524</v>
      </c>
      <c r="C18" t="s">
        <v>83</v>
      </c>
      <c r="D18" t="s">
        <v>29</v>
      </c>
      <c r="E18" s="28">
        <v>3</v>
      </c>
      <c r="F18" s="30">
        <v>2.78</v>
      </c>
      <c r="G18" s="83">
        <f t="shared" si="0"/>
        <v>0.2200000000000002</v>
      </c>
      <c r="H18" s="87">
        <f>100/(Tableau13[[#This Row],[Total TTC]]-Tableau13[[#This Row],[TVA]])*Tableau13[[#This Row],[TVA]]</f>
        <v>7.9136690647482091</v>
      </c>
      <c r="I18" t="s">
        <v>60</v>
      </c>
      <c r="J18" s="60">
        <v>3</v>
      </c>
      <c r="K18" s="5">
        <f>Tableau13[[#This Row],[Montant ]]-Tableau13[[#This Row],[Montant 
TVA]]</f>
        <v>2.78</v>
      </c>
      <c r="L18" s="52">
        <f>Tableau13[[#This Row],[TVA]]</f>
        <v>0.2200000000000002</v>
      </c>
      <c r="M18" s="63">
        <f>100/(Tableau13[[#This Row],[Montant ]]-Tableau13[[#This Row],[Montant 
TVA]])*Tableau13[[#This Row],[Montant 
TVA]]</f>
        <v>7.9136690647482091</v>
      </c>
    </row>
    <row r="19" spans="1:14" x14ac:dyDescent="0.25">
      <c r="A19" s="25">
        <v>14</v>
      </c>
      <c r="B19" s="36">
        <v>45525</v>
      </c>
      <c r="C19" t="s">
        <v>84</v>
      </c>
      <c r="D19" t="s">
        <v>20</v>
      </c>
      <c r="E19" s="28">
        <v>7.9</v>
      </c>
      <c r="F19" s="30">
        <v>7.7</v>
      </c>
      <c r="G19" s="83">
        <f t="shared" si="0"/>
        <v>0.20000000000000018</v>
      </c>
      <c r="H19" s="88">
        <f>100/(Tableau13[[#This Row],[Total TTC]]-Tableau13[[#This Row],[TVA]])*Tableau13[[#This Row],[TVA]]</f>
        <v>2.5974025974025996</v>
      </c>
      <c r="I19" t="s">
        <v>11</v>
      </c>
      <c r="J19" s="60">
        <v>7.9</v>
      </c>
      <c r="K19" s="5">
        <f>Tableau13[[#This Row],[Montant ]]-Tableau13[[#This Row],[Montant 
TVA]]</f>
        <v>7.7</v>
      </c>
      <c r="L19" s="52">
        <f>Tableau13[[#This Row],[TVA]]</f>
        <v>0.20000000000000018</v>
      </c>
      <c r="M19" s="63">
        <f>100/(Tableau13[[#This Row],[Montant ]]-Tableau13[[#This Row],[Montant 
TVA]])*Tableau13[[#This Row],[Montant 
TVA]]</f>
        <v>2.5974025974025996</v>
      </c>
    </row>
    <row r="20" spans="1:14" x14ac:dyDescent="0.25">
      <c r="A20" s="25">
        <v>15</v>
      </c>
      <c r="B20" s="36">
        <v>45526</v>
      </c>
      <c r="C20" t="s">
        <v>85</v>
      </c>
      <c r="D20" t="s">
        <v>20</v>
      </c>
      <c r="E20" s="28">
        <v>11</v>
      </c>
      <c r="F20" s="30">
        <v>10.72</v>
      </c>
      <c r="G20" s="83">
        <f t="shared" si="0"/>
        <v>0.27999999999999936</v>
      </c>
      <c r="H20" s="88">
        <f>100/(Tableau13[[#This Row],[Total TTC]]-Tableau13[[#This Row],[TVA]])*Tableau13[[#This Row],[TVA]]</f>
        <v>2.6119402985074562</v>
      </c>
      <c r="I20" t="s">
        <v>11</v>
      </c>
      <c r="J20" s="60">
        <v>11</v>
      </c>
      <c r="K20" s="5">
        <f>Tableau13[[#This Row],[Montant ]]-Tableau13[[#This Row],[Montant 
TVA]]</f>
        <v>10.72</v>
      </c>
      <c r="L20" s="52">
        <f>Tableau13[[#This Row],[TVA]]</f>
        <v>0.27999999999999936</v>
      </c>
      <c r="M20" s="63">
        <f>100/(Tableau13[[#This Row],[Montant ]]-Tableau13[[#This Row],[Montant 
TVA]])*Tableau13[[#This Row],[Montant 
TVA]]</f>
        <v>2.6119402985074562</v>
      </c>
    </row>
    <row r="21" spans="1:14" x14ac:dyDescent="0.25">
      <c r="A21" s="25">
        <v>16</v>
      </c>
      <c r="B21" s="36">
        <v>45526</v>
      </c>
      <c r="C21" t="s">
        <v>89</v>
      </c>
      <c r="D21" t="s">
        <v>20</v>
      </c>
      <c r="E21" s="28">
        <v>30.5</v>
      </c>
      <c r="F21" s="30">
        <f>30.5-2.29</f>
        <v>28.21</v>
      </c>
      <c r="G21" s="83">
        <f t="shared" si="0"/>
        <v>2.2899999999999991</v>
      </c>
      <c r="H21" s="87">
        <f>100/(Tableau13[[#This Row],[Total TTC]]-Tableau13[[#This Row],[TVA]])*Tableau13[[#This Row],[TVA]]</f>
        <v>8.1176887628500509</v>
      </c>
      <c r="I21" t="s">
        <v>11</v>
      </c>
      <c r="J21" s="60">
        <v>30.5</v>
      </c>
      <c r="K21" s="5">
        <f>Tableau13[[#This Row],[Montant ]]-Tableau13[[#This Row],[Montant 
TVA]]</f>
        <v>28.21</v>
      </c>
      <c r="L21" s="52">
        <f>Tableau13[[#This Row],[TVA]]</f>
        <v>2.2899999999999991</v>
      </c>
      <c r="M21" s="64">
        <f>100/(Tableau13[[#This Row],[Montant ]]-Tableau13[[#This Row],[Montant 
TVA]])*Tableau13[[#This Row],[Montant 
TVA]]</f>
        <v>8.1176887628500509</v>
      </c>
    </row>
    <row r="22" spans="1:14" x14ac:dyDescent="0.25">
      <c r="A22" s="25">
        <v>16</v>
      </c>
      <c r="B22" s="36">
        <v>45526</v>
      </c>
      <c r="C22" t="s">
        <v>90</v>
      </c>
      <c r="D22" t="s">
        <v>20</v>
      </c>
      <c r="E22" s="28">
        <v>38.9</v>
      </c>
      <c r="F22" s="30">
        <f>38.9-0.99</f>
        <v>37.909999999999997</v>
      </c>
      <c r="G22" s="83">
        <f t="shared" si="0"/>
        <v>0.99000000000000199</v>
      </c>
      <c r="H22" s="87">
        <f>100/(Tableau13[[#This Row],[Total TTC]]-Tableau13[[#This Row],[TVA]])*Tableau13[[#This Row],[TVA]]</f>
        <v>2.6114481667106357</v>
      </c>
      <c r="I22" t="s">
        <v>11</v>
      </c>
      <c r="J22" s="60">
        <v>38.9</v>
      </c>
      <c r="K22" s="5">
        <f>Tableau13[[#This Row],[Montant ]]-Tableau13[[#This Row],[Montant 
TVA]]</f>
        <v>37.909999999999997</v>
      </c>
      <c r="L22" s="52">
        <f>Tableau13[[#This Row],[TVA]]</f>
        <v>0.99000000000000199</v>
      </c>
      <c r="M22" s="64">
        <f>100/(Tableau13[[#This Row],[Montant ]]-Tableau13[[#This Row],[Montant 
TVA]])*Tableau13[[#This Row],[Montant 
TVA]]</f>
        <v>2.6114481667106357</v>
      </c>
    </row>
    <row r="23" spans="1:14" x14ac:dyDescent="0.25">
      <c r="A23" s="25">
        <v>17</v>
      </c>
      <c r="B23" s="36">
        <v>45527</v>
      </c>
      <c r="C23" t="s">
        <v>83</v>
      </c>
      <c r="D23" t="s">
        <v>29</v>
      </c>
      <c r="E23" s="28">
        <v>7.19</v>
      </c>
      <c r="F23" s="30">
        <v>6.65</v>
      </c>
      <c r="G23" s="83">
        <f t="shared" si="0"/>
        <v>0.54</v>
      </c>
      <c r="H23" s="87">
        <f>100/(Tableau13[[#This Row],[Total TTC]]-Tableau13[[#This Row],[TVA]])*Tableau13[[#This Row],[TVA]]</f>
        <v>8.1203007518797001</v>
      </c>
      <c r="I23" t="s">
        <v>60</v>
      </c>
      <c r="J23" s="60">
        <v>7.19</v>
      </c>
      <c r="K23" s="5">
        <f>Tableau13[[#This Row],[Montant ]]-Tableau13[[#This Row],[Montant 
TVA]]</f>
        <v>6.65</v>
      </c>
      <c r="L23" s="52">
        <f>Tableau13[[#This Row],[TVA]]</f>
        <v>0.54</v>
      </c>
      <c r="M23" s="63">
        <f>100/(Tableau13[[#This Row],[Montant ]]-Tableau13[[#This Row],[Montant 
TVA]])*Tableau13[[#This Row],[Montant 
TVA]]</f>
        <v>8.1203007518797001</v>
      </c>
    </row>
    <row r="24" spans="1:14" s="75" customFormat="1" x14ac:dyDescent="0.25">
      <c r="A24" s="73"/>
      <c r="B24" s="74"/>
      <c r="C24" s="75" t="s">
        <v>92</v>
      </c>
      <c r="E24" s="59"/>
      <c r="F24" s="42"/>
      <c r="G24" s="42"/>
      <c r="H24" s="76"/>
      <c r="I24" s="29" t="s">
        <v>93</v>
      </c>
      <c r="J24" s="77">
        <f>656.15-596.5</f>
        <v>59.649999999999977</v>
      </c>
      <c r="K24" s="58">
        <f>Tableau13[[#This Row],[Montant ]]-Tableau13[[#This Row],[Montant 
TVA]]</f>
        <v>59.649999999999977</v>
      </c>
      <c r="L24" s="58">
        <f>Tableau13[[#This Row],[TVA]]</f>
        <v>0</v>
      </c>
      <c r="M24" s="62">
        <f>100/(Tableau13[[#This Row],[Montant ]]-Tableau13[[#This Row],[Montant 
TVA]])*Tableau13[[#This Row],[Montant 
TVA]]</f>
        <v>0</v>
      </c>
    </row>
    <row r="25" spans="1:14" x14ac:dyDescent="0.25">
      <c r="A25" s="43"/>
      <c r="B25" s="43"/>
      <c r="C25" s="44"/>
      <c r="D25" s="44"/>
      <c r="E25" s="45">
        <f>SUBTOTAL(9,Tableau13[Total TTC])</f>
        <v>1137.8800000000001</v>
      </c>
      <c r="F25" s="45">
        <f>SUBTOTAL(9,Tableau13[Total HT])</f>
        <v>1054.6100000000004</v>
      </c>
      <c r="G25" s="45">
        <f>SUBTOTAL(9,Tableau13[TVA])</f>
        <v>83.27</v>
      </c>
      <c r="H25" s="90"/>
      <c r="I25" s="45"/>
      <c r="J25" s="45">
        <f>SUBTOTAL(9,Tableau13[[Montant ]])</f>
        <v>1137.8800000000001</v>
      </c>
      <c r="K25" s="45">
        <f>SUBTOTAL(9,Tableau13[Montant 
NET])</f>
        <v>1071.6200000000003</v>
      </c>
      <c r="L25" s="45">
        <f>SUBTOTAL(9,Tableau13[Montant 
TVA])</f>
        <v>66.260000000000005</v>
      </c>
      <c r="M25" s="45"/>
      <c r="N25" s="5"/>
    </row>
    <row r="28" spans="1:14" x14ac:dyDescent="0.25">
      <c r="I28" s="25" t="s">
        <v>8</v>
      </c>
      <c r="J28" s="27">
        <f>SUMIF($I$6:$I$23,I28,$J$6:$J$23)</f>
        <v>0</v>
      </c>
      <c r="K28" s="27">
        <f t="shared" ref="K28:K38" si="1">SUMIF($I$6:$I$24,I28,$K$6:$K$24)</f>
        <v>0</v>
      </c>
      <c r="L28" s="27">
        <f>SUMIF($I$6:$I$24,I28,$L$6:$L$24)</f>
        <v>0</v>
      </c>
      <c r="M28" s="63" t="str">
        <f>IF(J28&gt;0,100/(J28-L28)*L28,"")</f>
        <v/>
      </c>
    </row>
    <row r="29" spans="1:14" x14ac:dyDescent="0.25">
      <c r="D29" s="26"/>
      <c r="I29" t="s">
        <v>64</v>
      </c>
      <c r="J29" s="27">
        <f>SUMIF($I$6:$I$24,I29,$J$6:$J$24)</f>
        <v>133.55000000000001</v>
      </c>
      <c r="K29" s="27">
        <f t="shared" si="1"/>
        <v>131.04</v>
      </c>
      <c r="L29" s="27">
        <f t="shared" ref="L29:L38" si="2">SUMIF($I$6:$I$23,I29,$L$6:$L$23)</f>
        <v>2.5100000000000016</v>
      </c>
      <c r="M29" s="63">
        <f t="shared" ref="M29:M38" si="3">IF(J29&gt;0,100/(J29-L29)*L29,"")</f>
        <v>1.9154456654456662</v>
      </c>
    </row>
    <row r="30" spans="1:14" x14ac:dyDescent="0.25">
      <c r="I30" t="s">
        <v>15</v>
      </c>
      <c r="J30" s="27">
        <f>SUMIF($I$6:$I$24,I30,$J$6:$J$24)</f>
        <v>4.4800000000000004</v>
      </c>
      <c r="K30" s="27">
        <f t="shared" si="1"/>
        <v>4.4800000000000004</v>
      </c>
      <c r="L30" s="27">
        <f>SUMIF($I$6:$I$24,I30,$L$6:$L$24)</f>
        <v>0</v>
      </c>
      <c r="M30" s="63">
        <f t="shared" si="3"/>
        <v>0</v>
      </c>
    </row>
    <row r="31" spans="1:14" x14ac:dyDescent="0.25">
      <c r="I31" s="29" t="s">
        <v>91</v>
      </c>
      <c r="J31" s="27">
        <f t="shared" ref="J31:J38" si="4">SUMIF($I$6:$I$23,I31,$J$6:$J$23)</f>
        <v>0</v>
      </c>
      <c r="K31" s="27">
        <f t="shared" si="1"/>
        <v>0</v>
      </c>
      <c r="L31" s="27">
        <f>SUMIF($I$6:$I$24,I31,$L$6:$L$24)</f>
        <v>0</v>
      </c>
      <c r="M31" s="63" t="str">
        <f t="shared" si="3"/>
        <v/>
      </c>
    </row>
    <row r="32" spans="1:14" x14ac:dyDescent="0.25">
      <c r="D32" s="26"/>
      <c r="I32" s="29" t="s">
        <v>6</v>
      </c>
      <c r="J32" s="27">
        <f t="shared" si="4"/>
        <v>0</v>
      </c>
      <c r="K32" s="27">
        <f t="shared" si="1"/>
        <v>0</v>
      </c>
      <c r="L32" s="27">
        <f>SUMIF($I$6:$I$24,I32,$L$6:$L$24)</f>
        <v>0</v>
      </c>
      <c r="M32" s="63" t="str">
        <f t="shared" si="3"/>
        <v/>
      </c>
    </row>
    <row r="33" spans="4:13" x14ac:dyDescent="0.25">
      <c r="D33" s="26"/>
      <c r="I33" s="29" t="s">
        <v>11</v>
      </c>
      <c r="J33" s="27">
        <f t="shared" si="4"/>
        <v>908.01</v>
      </c>
      <c r="K33" s="27">
        <f t="shared" si="1"/>
        <v>845.58000000000015</v>
      </c>
      <c r="L33" s="27">
        <f t="shared" si="2"/>
        <v>62.43</v>
      </c>
      <c r="M33" s="63">
        <f t="shared" si="3"/>
        <v>7.3830979919108772</v>
      </c>
    </row>
    <row r="34" spans="4:13" x14ac:dyDescent="0.25">
      <c r="D34" s="26"/>
      <c r="I34" s="29" t="s">
        <v>12</v>
      </c>
      <c r="J34" s="27">
        <f t="shared" si="4"/>
        <v>0</v>
      </c>
      <c r="K34" s="27">
        <f t="shared" si="1"/>
        <v>0</v>
      </c>
      <c r="L34" s="27">
        <f>SUMIF($I$6:$I$24,I34,$L$6:$L$24)</f>
        <v>0</v>
      </c>
      <c r="M34" s="63" t="str">
        <f t="shared" si="3"/>
        <v/>
      </c>
    </row>
    <row r="35" spans="4:13" x14ac:dyDescent="0.25">
      <c r="D35" s="26"/>
      <c r="I35" s="29" t="s">
        <v>67</v>
      </c>
      <c r="J35" s="27">
        <f>SUMIF($I$6:$I$23,I35,$J$6:$J$23)</f>
        <v>0</v>
      </c>
      <c r="K35" s="27">
        <f t="shared" si="1"/>
        <v>0</v>
      </c>
      <c r="L35" s="27">
        <f>SUMIF($I$6:$I$24,I35,$L$6:$L$24)</f>
        <v>0</v>
      </c>
      <c r="M35" s="63" t="str">
        <f>IF(J35&gt;0,100/(J35-L35)*L35,"")</f>
        <v/>
      </c>
    </row>
    <row r="36" spans="4:13" x14ac:dyDescent="0.25">
      <c r="D36" s="26"/>
      <c r="I36" s="29" t="s">
        <v>14</v>
      </c>
      <c r="J36" s="27">
        <f t="shared" si="4"/>
        <v>0</v>
      </c>
      <c r="K36" s="27">
        <f t="shared" si="1"/>
        <v>0</v>
      </c>
      <c r="L36" s="27">
        <f>SUMIF($I$6:$I$24,I36,$L$6:$L$24)</f>
        <v>0</v>
      </c>
      <c r="M36" s="63" t="str">
        <f t="shared" si="3"/>
        <v/>
      </c>
    </row>
    <row r="37" spans="4:13" x14ac:dyDescent="0.25">
      <c r="D37" s="26"/>
      <c r="I37" s="25" t="s">
        <v>60</v>
      </c>
      <c r="J37" s="27">
        <f>SUMIF($I$6:$I$23,I37,$J$6:$J$23)</f>
        <v>10.190000000000001</v>
      </c>
      <c r="K37" s="27">
        <f t="shared" si="1"/>
        <v>9.43</v>
      </c>
      <c r="L37" s="27">
        <f>SUMIF($I$6:$I$23,I37,$L$6:$L$23)</f>
        <v>0.76000000000000023</v>
      </c>
      <c r="M37" s="63">
        <f>IF(J37&gt;0,100/(J37-L37)*L37,"")</f>
        <v>8.0593849416755052</v>
      </c>
    </row>
    <row r="38" spans="4:13" x14ac:dyDescent="0.25">
      <c r="I38" s="29" t="s">
        <v>88</v>
      </c>
      <c r="J38" s="27">
        <f t="shared" si="4"/>
        <v>22</v>
      </c>
      <c r="K38" s="27">
        <f t="shared" si="1"/>
        <v>21.44</v>
      </c>
      <c r="L38" s="27">
        <f t="shared" si="2"/>
        <v>0.55999999999999872</v>
      </c>
      <c r="M38" s="63">
        <f t="shared" si="3"/>
        <v>2.6119402985074562</v>
      </c>
    </row>
    <row r="39" spans="4:13" x14ac:dyDescent="0.25">
      <c r="I39" s="29"/>
      <c r="J39" s="27"/>
      <c r="K39" s="27"/>
      <c r="L39" s="27"/>
      <c r="M39" s="63"/>
    </row>
    <row r="40" spans="4:13" x14ac:dyDescent="0.25">
      <c r="I40" s="78" t="s">
        <v>93</v>
      </c>
      <c r="J40" s="79">
        <f>SUMIF($I$6:$I$24,I40,$J$6:$J$24)</f>
        <v>59.649999999999977</v>
      </c>
      <c r="K40" s="79">
        <f>SUMIF($I$6:$I$24,I40,$K$6:$K$24)</f>
        <v>59.649999999999977</v>
      </c>
      <c r="L40" s="79">
        <f>SUMIF($I$6:$I$24,I40,$L$6:$L$24)</f>
        <v>0</v>
      </c>
      <c r="M40" s="80"/>
    </row>
    <row r="41" spans="4:13" x14ac:dyDescent="0.25">
      <c r="D41" s="32"/>
    </row>
    <row r="42" spans="4:13" x14ac:dyDescent="0.25">
      <c r="I42" s="31" t="s">
        <v>7</v>
      </c>
      <c r="J42" s="33">
        <f>SUM(J28:J40)</f>
        <v>1137.8800000000001</v>
      </c>
      <c r="K42" s="33">
        <f>SUM(K28:K40)</f>
        <v>1071.6200000000001</v>
      </c>
      <c r="L42" s="33">
        <f>SUM(L28:L40)</f>
        <v>66.260000000000005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D05D-EDBE-40DC-B4C0-F079FCF7D6BE}">
  <sheetPr>
    <pageSetUpPr fitToPage="1"/>
  </sheetPr>
  <dimension ref="A1:N52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C4" sqref="C4"/>
    </sheetView>
  </sheetViews>
  <sheetFormatPr baseColWidth="10" defaultRowHeight="15" outlineLevelCol="1" x14ac:dyDescent="0.25"/>
  <cols>
    <col min="1" max="1" width="3.85546875" style="25" customWidth="1"/>
    <col min="2" max="2" width="14.7109375" style="25" customWidth="1"/>
    <col min="3" max="3" width="34.7109375" customWidth="1"/>
    <col min="4" max="4" width="9.85546875" customWidth="1" outlineLevel="1"/>
    <col min="5" max="5" width="11" style="82" customWidth="1" outlineLevel="1"/>
    <col min="6" max="6" width="10" customWidth="1" outlineLevel="1"/>
    <col min="7" max="7" width="12.42578125" style="34" customWidth="1" outlineLevel="1"/>
    <col min="8" max="8" width="8.28515625" style="97" customWidth="1" outlineLevel="1"/>
    <col min="9" max="9" width="21.7109375" customWidth="1"/>
    <col min="10" max="10" width="14.140625" style="34" customWidth="1"/>
    <col min="11" max="11" width="12.28515625" customWidth="1"/>
    <col min="12" max="12" width="11.42578125" style="49" customWidth="1"/>
    <col min="13" max="13" width="9.85546875" style="61" customWidth="1"/>
  </cols>
  <sheetData>
    <row r="1" spans="1:14" x14ac:dyDescent="0.25">
      <c r="A1" s="25" t="s">
        <v>21</v>
      </c>
      <c r="C1" s="5"/>
    </row>
    <row r="2" spans="1:14" x14ac:dyDescent="0.25">
      <c r="A2" s="25" t="s">
        <v>114</v>
      </c>
    </row>
    <row r="3" spans="1:14" x14ac:dyDescent="0.25">
      <c r="A3" s="25" t="s">
        <v>123</v>
      </c>
      <c r="C3" s="106">
        <v>1700.05</v>
      </c>
    </row>
    <row r="4" spans="1:14" x14ac:dyDescent="0.25">
      <c r="A4" s="25" t="s">
        <v>120</v>
      </c>
      <c r="C4" s="106">
        <v>68.2</v>
      </c>
    </row>
    <row r="5" spans="1:14" x14ac:dyDescent="0.25">
      <c r="A5" s="25" t="s">
        <v>119</v>
      </c>
      <c r="C5" s="106">
        <v>483.6</v>
      </c>
    </row>
    <row r="6" spans="1:14" s="34" customFormat="1" ht="45" x14ac:dyDescent="0.25">
      <c r="A6" s="65" t="s">
        <v>23</v>
      </c>
      <c r="B6" s="65" t="s">
        <v>24</v>
      </c>
      <c r="C6" s="66" t="s">
        <v>25</v>
      </c>
      <c r="D6" s="67" t="s">
        <v>75</v>
      </c>
      <c r="E6" s="68" t="s">
        <v>26</v>
      </c>
      <c r="F6" s="68" t="s">
        <v>95</v>
      </c>
      <c r="G6" s="84" t="s">
        <v>86</v>
      </c>
      <c r="H6" s="98" t="s">
        <v>94</v>
      </c>
      <c r="I6" s="69" t="s">
        <v>73</v>
      </c>
      <c r="J6" s="70" t="s">
        <v>72</v>
      </c>
      <c r="K6" s="72" t="s">
        <v>74</v>
      </c>
      <c r="L6" s="71" t="s">
        <v>111</v>
      </c>
      <c r="M6" s="81" t="s">
        <v>87</v>
      </c>
      <c r="N6" s="107" t="s">
        <v>118</v>
      </c>
    </row>
    <row r="7" spans="1:14" x14ac:dyDescent="0.25">
      <c r="A7" s="25">
        <v>2</v>
      </c>
      <c r="B7" s="36">
        <v>45538</v>
      </c>
      <c r="C7" t="s">
        <v>96</v>
      </c>
      <c r="D7" t="s">
        <v>20</v>
      </c>
      <c r="E7" s="95">
        <v>14.03</v>
      </c>
      <c r="F7" s="42">
        <v>1.18</v>
      </c>
      <c r="G7" s="102">
        <f>Tableau134[[#This Row],[Total HT]]+Tableau134[[#This Row],[TVA]]</f>
        <v>15.209999999999999</v>
      </c>
      <c r="H7" s="87">
        <f>100/Tableau134[[#This Row],[Total HT]]*Tableau134[[#This Row],[TVA]]</f>
        <v>8.4105488239486821</v>
      </c>
      <c r="I7" t="s">
        <v>11</v>
      </c>
      <c r="J7" s="28">
        <f>Tableau134[[#This Row],[Total TTC]]</f>
        <v>15.209999999999999</v>
      </c>
      <c r="K7" s="100">
        <f>Tableau134[[#This Row],[Montant ]]-Tableau134[[#This Row],[TVA2]]</f>
        <v>14.819999999999999</v>
      </c>
      <c r="L7" s="58">
        <v>0.39</v>
      </c>
      <c r="M7" s="62"/>
    </row>
    <row r="8" spans="1:14" x14ac:dyDescent="0.25">
      <c r="A8" s="25">
        <v>1</v>
      </c>
      <c r="B8" s="36">
        <v>45538</v>
      </c>
      <c r="C8" t="s">
        <v>104</v>
      </c>
      <c r="D8" t="s">
        <v>19</v>
      </c>
      <c r="E8" s="100">
        <v>2.19</v>
      </c>
      <c r="F8" s="30">
        <v>0</v>
      </c>
      <c r="G8" s="102">
        <f>Tableau134[[#This Row],[Total HT]]+Tableau134[[#This Row],[TVA]]</f>
        <v>2.19</v>
      </c>
      <c r="H8" s="88">
        <f>100/Tableau134[[#This Row],[Total HT]]*Tableau134[[#This Row],[TVA]]</f>
        <v>0</v>
      </c>
      <c r="I8" t="s">
        <v>15</v>
      </c>
      <c r="J8" s="28">
        <f>Tableau134[[#This Row],[Total TTC]]</f>
        <v>2.19</v>
      </c>
      <c r="K8" s="100">
        <f>Tableau134[[#This Row],[Montant ]]-Tableau134[[#This Row],[TVA2]]</f>
        <v>2.19</v>
      </c>
      <c r="L8" s="52">
        <v>0</v>
      </c>
      <c r="M8" s="63"/>
    </row>
    <row r="9" spans="1:14" x14ac:dyDescent="0.25">
      <c r="A9" s="25">
        <v>3</v>
      </c>
      <c r="B9" s="36">
        <v>45540</v>
      </c>
      <c r="C9" t="s">
        <v>97</v>
      </c>
      <c r="D9" t="s">
        <v>29</v>
      </c>
      <c r="E9" s="100">
        <v>240</v>
      </c>
      <c r="F9" s="30">
        <v>19.440000000000001</v>
      </c>
      <c r="G9" s="102">
        <f>Tableau134[[#This Row],[Total HT]]+Tableau134[[#This Row],[TVA]]</f>
        <v>259.44</v>
      </c>
      <c r="H9" s="89">
        <f>100/Tableau134[[#This Row],[Total HT]]*Tableau134[[#This Row],[TVA]]</f>
        <v>8.1000000000000014</v>
      </c>
      <c r="I9" t="s">
        <v>60</v>
      </c>
      <c r="J9" s="59">
        <f>Tableau134[[#This Row],[Total TTC]]</f>
        <v>259.44</v>
      </c>
      <c r="K9" s="100">
        <f>Tableau134[[#This Row],[Montant ]]-Tableau134[[#This Row],[TVA2]]</f>
        <v>240</v>
      </c>
      <c r="L9" s="30">
        <v>19.440000000000001</v>
      </c>
      <c r="M9" s="63"/>
    </row>
    <row r="10" spans="1:14" x14ac:dyDescent="0.25">
      <c r="A10" s="25">
        <v>4</v>
      </c>
      <c r="B10" s="36">
        <v>45542</v>
      </c>
      <c r="C10" t="s">
        <v>98</v>
      </c>
      <c r="D10" t="s">
        <v>20</v>
      </c>
      <c r="E10" s="100">
        <v>128.31</v>
      </c>
      <c r="F10" s="30">
        <v>10.39</v>
      </c>
      <c r="G10" s="102">
        <f>Tableau134[[#This Row],[Total HT]]+Tableau134[[#This Row],[TVA]]</f>
        <v>138.69999999999999</v>
      </c>
      <c r="H10" s="89">
        <f>100/Tableau134[[#This Row],[Total HT]]*Tableau134[[#This Row],[TVA]]</f>
        <v>8.0975761826825661</v>
      </c>
      <c r="I10" t="s">
        <v>11</v>
      </c>
      <c r="J10" s="28">
        <f>Tableau134[[#This Row],[Total TTC]]</f>
        <v>138.69999999999999</v>
      </c>
      <c r="K10" s="100">
        <f>Tableau134[[#This Row],[Montant ]]-Tableau134[[#This Row],[TVA2]]</f>
        <v>128.31</v>
      </c>
      <c r="L10" s="30">
        <v>10.39</v>
      </c>
      <c r="M10" s="63"/>
    </row>
    <row r="11" spans="1:14" x14ac:dyDescent="0.25">
      <c r="A11" s="25">
        <v>5</v>
      </c>
      <c r="B11" s="36">
        <v>45544</v>
      </c>
      <c r="C11" t="s">
        <v>99</v>
      </c>
      <c r="D11" t="s">
        <v>29</v>
      </c>
      <c r="E11" s="100">
        <v>37</v>
      </c>
      <c r="F11" s="30">
        <v>3</v>
      </c>
      <c r="G11" s="102">
        <f>Tableau134[[#This Row],[Total HT]]+Tableau134[[#This Row],[TVA]]</f>
        <v>40</v>
      </c>
      <c r="H11" s="89">
        <f>100/Tableau134[[#This Row],[Total HT]]*Tableau134[[#This Row],[TVA]]</f>
        <v>8.1081081081081088</v>
      </c>
      <c r="I11" t="s">
        <v>60</v>
      </c>
      <c r="J11" s="28">
        <f>Tableau134[[#This Row],[Total TTC]]</f>
        <v>40</v>
      </c>
      <c r="K11" s="100"/>
      <c r="L11" s="30"/>
      <c r="M11" s="63"/>
    </row>
    <row r="12" spans="1:14" x14ac:dyDescent="0.25">
      <c r="A12" s="25">
        <v>6</v>
      </c>
      <c r="B12" s="36">
        <v>45546</v>
      </c>
      <c r="C12" t="s">
        <v>100</v>
      </c>
      <c r="D12" t="s">
        <v>19</v>
      </c>
      <c r="E12" s="100">
        <v>0.5</v>
      </c>
      <c r="F12" s="30">
        <v>0</v>
      </c>
      <c r="G12" s="102">
        <f>Tableau134[[#This Row],[Total HT]]+Tableau134[[#This Row],[TVA]]</f>
        <v>0.5</v>
      </c>
      <c r="H12" s="89">
        <f>100/Tableau134[[#This Row],[Total HT]]*Tableau134[[#This Row],[TVA]]</f>
        <v>0</v>
      </c>
      <c r="I12" t="s">
        <v>15</v>
      </c>
      <c r="J12" s="28">
        <f>Tableau134[[#This Row],[Total TTC]]</f>
        <v>0.5</v>
      </c>
      <c r="K12" s="103">
        <f>Tableau134[[#This Row],[Montant ]]-Tableau134[[#This Row],[TVA2]]</f>
        <v>0.5</v>
      </c>
      <c r="L12" s="30">
        <v>0</v>
      </c>
      <c r="M12" s="63"/>
    </row>
    <row r="13" spans="1:14" x14ac:dyDescent="0.25">
      <c r="A13" s="25">
        <v>7</v>
      </c>
      <c r="B13" s="36">
        <v>45547</v>
      </c>
      <c r="C13" t="s">
        <v>51</v>
      </c>
      <c r="D13" t="s">
        <v>20</v>
      </c>
      <c r="E13" s="100">
        <v>40.700000000000003</v>
      </c>
      <c r="F13" s="30">
        <v>3.3</v>
      </c>
      <c r="G13" s="102">
        <f>Tableau134[[#This Row],[Total HT]]+Tableau134[[#This Row],[TVA]]</f>
        <v>44</v>
      </c>
      <c r="H13" s="89">
        <f>100/Tableau134[[#This Row],[Total HT]]*Tableau134[[#This Row],[TVA]]</f>
        <v>8.108108108108107</v>
      </c>
      <c r="I13" t="s">
        <v>11</v>
      </c>
      <c r="J13" s="28">
        <f>Tableau134[[#This Row],[Total TTC]]</f>
        <v>44</v>
      </c>
      <c r="K13" s="103">
        <f>Tableau134[[#This Row],[Montant ]]-Tableau134[[#This Row],[TVA2]]</f>
        <v>40.700000000000003</v>
      </c>
      <c r="L13" s="30">
        <v>3.3</v>
      </c>
      <c r="M13" s="63"/>
    </row>
    <row r="14" spans="1:14" x14ac:dyDescent="0.25">
      <c r="A14" s="25">
        <v>8</v>
      </c>
      <c r="B14" s="36">
        <v>45547</v>
      </c>
      <c r="C14" t="s">
        <v>51</v>
      </c>
      <c r="D14" t="s">
        <v>20</v>
      </c>
      <c r="E14" s="100">
        <v>3.7</v>
      </c>
      <c r="F14" s="30">
        <v>0.3</v>
      </c>
      <c r="G14" s="102">
        <f>Tableau134[[#This Row],[Total HT]]+Tableau134[[#This Row],[TVA]]</f>
        <v>4</v>
      </c>
      <c r="H14" s="89">
        <f>100/Tableau134[[#This Row],[Total HT]]*Tableau134[[#This Row],[TVA]]</f>
        <v>8.108108108108107</v>
      </c>
      <c r="I14" t="s">
        <v>11</v>
      </c>
      <c r="J14" s="28">
        <f>Tableau134[[#This Row],[Total TTC]]</f>
        <v>4</v>
      </c>
      <c r="K14" s="103">
        <f>Tableau134[[#This Row],[Montant ]]-Tableau134[[#This Row],[TVA2]]</f>
        <v>3.7</v>
      </c>
      <c r="L14" s="30">
        <v>0.3</v>
      </c>
      <c r="M14" s="63"/>
    </row>
    <row r="15" spans="1:14" x14ac:dyDescent="0.25">
      <c r="A15" s="25">
        <v>9</v>
      </c>
      <c r="B15" s="36">
        <v>45547</v>
      </c>
      <c r="C15" t="s">
        <v>101</v>
      </c>
      <c r="D15" t="s">
        <v>20</v>
      </c>
      <c r="E15" s="100">
        <v>67.5</v>
      </c>
      <c r="F15" s="30">
        <v>0</v>
      </c>
      <c r="G15" s="102">
        <f>Tableau134[[#This Row],[Total HT]]+Tableau134[[#This Row],[TVA]]</f>
        <v>67.5</v>
      </c>
      <c r="H15" s="89">
        <f>100/Tableau134[[#This Row],[Total HT]]*Tableau134[[#This Row],[TVA]]</f>
        <v>0</v>
      </c>
      <c r="I15" t="s">
        <v>11</v>
      </c>
      <c r="J15" s="28">
        <f>Tableau134[[#This Row],[Total TTC]]</f>
        <v>67.5</v>
      </c>
      <c r="K15" s="103">
        <f>Tableau134[[#This Row],[Montant ]]-Tableau134[[#This Row],[TVA2]]</f>
        <v>67.5</v>
      </c>
      <c r="L15" s="30">
        <v>0</v>
      </c>
      <c r="M15" s="63"/>
      <c r="N15" s="5">
        <f>Tableau134[[#This Row],[Montant ]]</f>
        <v>67.5</v>
      </c>
    </row>
    <row r="16" spans="1:14" x14ac:dyDescent="0.25">
      <c r="A16" s="25">
        <v>11</v>
      </c>
      <c r="B16" s="36">
        <v>45548</v>
      </c>
      <c r="C16" t="s">
        <v>102</v>
      </c>
      <c r="D16" t="s">
        <v>20</v>
      </c>
      <c r="E16" s="100">
        <v>575.94000000000005</v>
      </c>
      <c r="F16" s="42">
        <v>44.06</v>
      </c>
      <c r="G16" s="102">
        <f>Tableau134[[#This Row],[Total HT]]+Tableau134[[#This Row],[TVA]]</f>
        <v>620</v>
      </c>
      <c r="H16" s="87">
        <f>100/Tableau134[[#This Row],[Total HT]]*Tableau134[[#This Row],[TVA]]</f>
        <v>7.6501024412265162</v>
      </c>
      <c r="I16" t="s">
        <v>11</v>
      </c>
      <c r="J16" s="28">
        <f>Tableau134[[#This Row],[Total TTC]]</f>
        <v>620</v>
      </c>
      <c r="K16" s="103">
        <f>Tableau134[[#This Row],[Montant ]]-Tableau134[[#This Row],[TVA2]]</f>
        <v>620</v>
      </c>
      <c r="L16" s="58">
        <v>0</v>
      </c>
      <c r="M16" s="63"/>
      <c r="N16" s="5">
        <f>Tableau134[[#This Row],[Montant ]]</f>
        <v>620</v>
      </c>
    </row>
    <row r="17" spans="1:14" x14ac:dyDescent="0.25">
      <c r="A17" s="25">
        <v>10</v>
      </c>
      <c r="B17" s="36">
        <v>45548</v>
      </c>
      <c r="C17" t="s">
        <v>52</v>
      </c>
      <c r="D17" t="s">
        <v>19</v>
      </c>
      <c r="E17" s="100">
        <v>18.09</v>
      </c>
      <c r="F17" s="30">
        <v>1.46</v>
      </c>
      <c r="G17" s="102">
        <f>Tableau134[[#This Row],[Total HT]]+Tableau134[[#This Row],[TVA]]</f>
        <v>19.55</v>
      </c>
      <c r="H17" s="89">
        <f>100/Tableau134[[#This Row],[Total HT]]*Tableau134[[#This Row],[TVA]]</f>
        <v>8.0707573244886675</v>
      </c>
      <c r="I17" t="s">
        <v>64</v>
      </c>
      <c r="J17" s="28">
        <f>Tableau134[[#This Row],[Total TTC]]</f>
        <v>19.55</v>
      </c>
      <c r="K17" s="103">
        <f>Tableau134[[#This Row],[Montant ]]-Tableau134[[#This Row],[TVA2]]</f>
        <v>18.09</v>
      </c>
      <c r="L17" s="30">
        <v>1.46</v>
      </c>
      <c r="M17" s="63"/>
    </row>
    <row r="18" spans="1:14" x14ac:dyDescent="0.25">
      <c r="A18" s="25">
        <v>12</v>
      </c>
      <c r="B18" s="36">
        <v>45554</v>
      </c>
      <c r="C18" t="s">
        <v>51</v>
      </c>
      <c r="D18" t="s">
        <v>20</v>
      </c>
      <c r="E18" s="100">
        <v>49.95</v>
      </c>
      <c r="F18" s="30">
        <v>4.05</v>
      </c>
      <c r="G18" s="102">
        <f>Tableau134[[#This Row],[Total HT]]+Tableau134[[#This Row],[TVA]]</f>
        <v>54</v>
      </c>
      <c r="H18" s="89">
        <f>100/Tableau134[[#This Row],[Total HT]]*Tableau134[[#This Row],[TVA]]</f>
        <v>8.108108108108107</v>
      </c>
      <c r="I18" t="s">
        <v>11</v>
      </c>
      <c r="J18" s="60">
        <f>Tableau134[[#This Row],[Total TTC]]</f>
        <v>54</v>
      </c>
      <c r="K18" s="100">
        <f>Tableau134[[#This Row],[Montant ]]-Tableau134[[#This Row],[TVA2]]</f>
        <v>49.95</v>
      </c>
      <c r="L18" s="30">
        <v>4.05</v>
      </c>
      <c r="M18" s="63"/>
      <c r="N18" s="5">
        <f>Tableau134[[#This Row],[Montant ]]</f>
        <v>54</v>
      </c>
    </row>
    <row r="19" spans="1:14" x14ac:dyDescent="0.25">
      <c r="A19" s="25">
        <v>13</v>
      </c>
      <c r="B19" s="36">
        <v>45554</v>
      </c>
      <c r="C19" t="s">
        <v>52</v>
      </c>
      <c r="D19" t="s">
        <v>19</v>
      </c>
      <c r="E19" s="100">
        <v>21.28</v>
      </c>
      <c r="F19" s="30">
        <v>1.72</v>
      </c>
      <c r="G19" s="102">
        <f>Tableau134[[#This Row],[Total HT]]+Tableau134[[#This Row],[TVA]]</f>
        <v>23</v>
      </c>
      <c r="H19" s="89">
        <f>100/Tableau134[[#This Row],[Total HT]]*Tableau134[[#This Row],[TVA]]</f>
        <v>8.0827067669172923</v>
      </c>
      <c r="I19" t="s">
        <v>64</v>
      </c>
      <c r="J19" s="60">
        <f>Tableau134[[#This Row],[Total TTC]]</f>
        <v>23</v>
      </c>
      <c r="K19" s="100">
        <f>Tableau134[[#This Row],[Montant ]]-Tableau134[[#This Row],[TVA2]]</f>
        <v>21.28</v>
      </c>
      <c r="L19" s="30">
        <v>1.72</v>
      </c>
      <c r="M19" s="63"/>
      <c r="N19" s="5">
        <f>Tableau134[[#This Row],[Montant ]]</f>
        <v>23</v>
      </c>
    </row>
    <row r="20" spans="1:14" x14ac:dyDescent="0.25">
      <c r="A20" s="25">
        <v>14</v>
      </c>
      <c r="B20" s="36">
        <v>45555</v>
      </c>
      <c r="C20" t="s">
        <v>103</v>
      </c>
      <c r="D20" t="s">
        <v>20</v>
      </c>
      <c r="E20" s="100">
        <v>324.67</v>
      </c>
      <c r="F20" s="30">
        <v>25.33</v>
      </c>
      <c r="G20" s="102">
        <f>Tableau134[[#This Row],[Total HT]]+Tableau134[[#This Row],[TVA]]</f>
        <v>350</v>
      </c>
      <c r="H20" s="87">
        <f>100/Tableau134[[#This Row],[Total HT]]*Tableau134[[#This Row],[TVA]]</f>
        <v>7.8017679489943621</v>
      </c>
      <c r="I20" t="s">
        <v>11</v>
      </c>
      <c r="J20" s="77">
        <f>Tableau134[[#This Row],[Total TTC]]</f>
        <v>350</v>
      </c>
      <c r="K20" s="58">
        <f>Tableau134[[#This Row],[Montant ]]-Tableau134[[#This Row],[TVA2]]</f>
        <v>324.67</v>
      </c>
      <c r="L20" s="30">
        <v>25.33</v>
      </c>
      <c r="M20" s="63"/>
      <c r="N20" s="5">
        <f>Tableau134[[#This Row],[Montant ]]</f>
        <v>350</v>
      </c>
    </row>
    <row r="21" spans="1:14" x14ac:dyDescent="0.25">
      <c r="A21" s="25">
        <v>15</v>
      </c>
      <c r="B21" s="36">
        <v>45555</v>
      </c>
      <c r="C21" t="s">
        <v>104</v>
      </c>
      <c r="D21" t="s">
        <v>19</v>
      </c>
      <c r="E21" s="100">
        <v>4.8499999999999996</v>
      </c>
      <c r="F21" s="30">
        <v>0</v>
      </c>
      <c r="G21" s="102">
        <f>Tableau134[[#This Row],[Total HT]]+Tableau134[[#This Row],[TVA]]</f>
        <v>4.8499999999999996</v>
      </c>
      <c r="H21" s="89">
        <f>100/Tableau134[[#This Row],[Total HT]]*Tableau134[[#This Row],[TVA]]</f>
        <v>0</v>
      </c>
      <c r="I21" t="s">
        <v>15</v>
      </c>
      <c r="J21" s="60">
        <f>Tableau134[[#This Row],[Total TTC]]</f>
        <v>4.8499999999999996</v>
      </c>
      <c r="K21" s="100">
        <f>Tableau134[[#This Row],[Montant ]]-Tableau134[[#This Row],[TVA2]]</f>
        <v>4.8499999999999996</v>
      </c>
      <c r="L21" s="30">
        <v>0</v>
      </c>
      <c r="M21" s="63"/>
      <c r="N21" s="5">
        <f>Tableau134[[#This Row],[Montant ]]</f>
        <v>4.8499999999999996</v>
      </c>
    </row>
    <row r="22" spans="1:14" x14ac:dyDescent="0.25">
      <c r="A22" s="25">
        <v>16</v>
      </c>
      <c r="B22" s="36">
        <v>45557</v>
      </c>
      <c r="C22" t="s">
        <v>105</v>
      </c>
      <c r="D22" t="s">
        <v>19</v>
      </c>
      <c r="E22" s="100">
        <v>121.9</v>
      </c>
      <c r="F22" s="30">
        <v>9.8699999999999992</v>
      </c>
      <c r="G22" s="102">
        <f>Tableau134[[#This Row],[Total HT]]+Tableau134[[#This Row],[TVA]]</f>
        <v>131.77000000000001</v>
      </c>
      <c r="H22" s="89">
        <f>100/Tableau134[[#This Row],[Total HT]]*Tableau134[[#This Row],[TVA]]</f>
        <v>8.0968006562756347</v>
      </c>
      <c r="I22" t="s">
        <v>91</v>
      </c>
      <c r="J22" s="60">
        <f>Tableau134[[#This Row],[Total TTC]]</f>
        <v>131.77000000000001</v>
      </c>
      <c r="K22" s="100">
        <f>Tableau134[[#This Row],[Montant ]]-Tableau134[[#This Row],[TVA2]]</f>
        <v>121.9</v>
      </c>
      <c r="L22" s="30">
        <v>9.8699999999999992</v>
      </c>
      <c r="M22" s="63"/>
      <c r="N22" s="5">
        <f>Tableau134[[#This Row],[Montant ]]-0.02</f>
        <v>131.75</v>
      </c>
    </row>
    <row r="23" spans="1:14" x14ac:dyDescent="0.25">
      <c r="A23" s="25">
        <v>18</v>
      </c>
      <c r="B23" s="36">
        <v>45558</v>
      </c>
      <c r="C23" t="s">
        <v>51</v>
      </c>
      <c r="D23" t="s">
        <v>20</v>
      </c>
      <c r="E23" s="100">
        <v>159.11000000000001</v>
      </c>
      <c r="F23" s="30">
        <v>20.89</v>
      </c>
      <c r="G23" s="102">
        <f>Tableau134[[#This Row],[Total HT]]+Tableau134[[#This Row],[TVA]]</f>
        <v>180</v>
      </c>
      <c r="H23" s="87">
        <f>100/Tableau134[[#This Row],[Total HT]]*Tableau134[[#This Row],[TVA]]</f>
        <v>13.129281629061655</v>
      </c>
      <c r="I23" t="s">
        <v>11</v>
      </c>
      <c r="J23" s="77">
        <f>Tableau134[[#This Row],[Total TTC]]</f>
        <v>180</v>
      </c>
      <c r="K23" s="58">
        <f>Tableau134[[#This Row],[Montant ]]-Tableau134[[#This Row],[TVA2]]</f>
        <v>159.11000000000001</v>
      </c>
      <c r="L23" s="30">
        <v>20.89</v>
      </c>
      <c r="M23" s="63"/>
      <c r="N23" s="5">
        <f>Tableau134[[#This Row],[Montant ]]</f>
        <v>180</v>
      </c>
    </row>
    <row r="24" spans="1:14" x14ac:dyDescent="0.25">
      <c r="A24" s="25">
        <v>17</v>
      </c>
      <c r="B24" s="36">
        <v>45558</v>
      </c>
      <c r="C24" t="s">
        <v>99</v>
      </c>
      <c r="D24" t="s">
        <v>29</v>
      </c>
      <c r="E24" s="100">
        <v>9.25</v>
      </c>
      <c r="F24" s="30">
        <v>0.75</v>
      </c>
      <c r="G24" s="102">
        <f>Tableau134[[#This Row],[Total HT]]+Tableau134[[#This Row],[TVA]]</f>
        <v>10</v>
      </c>
      <c r="H24" s="89">
        <f>100/Tableau134[[#This Row],[Total HT]]*Tableau134[[#This Row],[TVA]]</f>
        <v>8.1081081081081088</v>
      </c>
      <c r="I24" t="s">
        <v>60</v>
      </c>
      <c r="J24" s="28">
        <f>Tableau134[[#This Row],[Total TTC]]</f>
        <v>10</v>
      </c>
      <c r="K24" s="100"/>
      <c r="L24" s="30"/>
      <c r="M24" s="63"/>
    </row>
    <row r="25" spans="1:14" x14ac:dyDescent="0.25">
      <c r="A25" s="25">
        <v>19</v>
      </c>
      <c r="B25" s="36">
        <v>45559</v>
      </c>
      <c r="C25" t="s">
        <v>106</v>
      </c>
      <c r="D25" t="s">
        <v>29</v>
      </c>
      <c r="E25" s="100">
        <v>11.1</v>
      </c>
      <c r="F25" s="30">
        <v>0.9</v>
      </c>
      <c r="G25" s="102">
        <f>Tableau134[[#This Row],[Total HT]]+Tableau134[[#This Row],[TVA]]</f>
        <v>12</v>
      </c>
      <c r="H25" s="89">
        <f>100/Tableau134[[#This Row],[Total HT]]*Tableau134[[#This Row],[TVA]]</f>
        <v>8.1081081081081088</v>
      </c>
      <c r="I25" t="s">
        <v>11</v>
      </c>
      <c r="J25" s="60">
        <f>Tableau134[[#This Row],[Total TTC]]</f>
        <v>12</v>
      </c>
      <c r="K25" s="100">
        <f>Tableau134[[#This Row],[Montant ]]-Tableau134[[#This Row],[TVA2]]</f>
        <v>11.1</v>
      </c>
      <c r="L25" s="30">
        <v>0.9</v>
      </c>
      <c r="M25" s="63"/>
      <c r="N25" s="5">
        <f>Tableau134[[#This Row],[Montant ]]</f>
        <v>12</v>
      </c>
    </row>
    <row r="26" spans="1:14" x14ac:dyDescent="0.25">
      <c r="A26" s="25">
        <v>20</v>
      </c>
      <c r="B26" s="36">
        <v>45559</v>
      </c>
      <c r="C26" t="s">
        <v>106</v>
      </c>
      <c r="D26" t="s">
        <v>20</v>
      </c>
      <c r="E26" s="100">
        <v>18.2</v>
      </c>
      <c r="F26" s="30">
        <v>0</v>
      </c>
      <c r="G26" s="102">
        <f>Tableau134[[#This Row],[Total HT]]+Tableau134[[#This Row],[TVA]]</f>
        <v>18.2</v>
      </c>
      <c r="H26" s="89">
        <f>100/Tableau134[[#This Row],[Total HT]]*Tableau134[[#This Row],[TVA]]</f>
        <v>0</v>
      </c>
      <c r="I26" t="s">
        <v>11</v>
      </c>
      <c r="J26" s="28">
        <f>Tableau134[[#This Row],[Total TTC]]</f>
        <v>18.2</v>
      </c>
      <c r="K26" s="100"/>
      <c r="L26" s="30"/>
      <c r="M26" s="63"/>
    </row>
    <row r="27" spans="1:14" x14ac:dyDescent="0.25">
      <c r="A27" s="25">
        <v>21</v>
      </c>
      <c r="B27" s="36">
        <v>45560</v>
      </c>
      <c r="C27" t="s">
        <v>51</v>
      </c>
      <c r="D27" t="s">
        <v>20</v>
      </c>
      <c r="E27" s="100">
        <v>25.44</v>
      </c>
      <c r="F27" s="30">
        <v>2.06</v>
      </c>
      <c r="G27" s="102">
        <f>Tableau134[[#This Row],[Total HT]]+Tableau134[[#This Row],[TVA]]</f>
        <v>27.5</v>
      </c>
      <c r="H27" s="89">
        <f>100/Tableau134[[#This Row],[Total HT]]*Tableau134[[#This Row],[TVA]]</f>
        <v>8.0974842767295598</v>
      </c>
      <c r="I27" t="s">
        <v>11</v>
      </c>
      <c r="J27" s="60">
        <f>Tableau134[[#This Row],[Total TTC]]</f>
        <v>27.5</v>
      </c>
      <c r="K27" s="100">
        <f>Tableau134[[#This Row],[Montant ]]-Tableau134[[#This Row],[TVA2]]</f>
        <v>25.44</v>
      </c>
      <c r="L27" s="30">
        <v>2.06</v>
      </c>
      <c r="M27" s="63"/>
      <c r="N27" s="5">
        <f>Tableau134[[#This Row],[Montant ]]</f>
        <v>27.5</v>
      </c>
    </row>
    <row r="28" spans="1:14" x14ac:dyDescent="0.25">
      <c r="A28" s="25">
        <v>22</v>
      </c>
      <c r="B28" s="36">
        <v>45560</v>
      </c>
      <c r="C28" t="s">
        <v>51</v>
      </c>
      <c r="D28" t="s">
        <v>20</v>
      </c>
      <c r="E28" s="100">
        <v>7.4</v>
      </c>
      <c r="F28" s="30">
        <v>0.6</v>
      </c>
      <c r="G28" s="102">
        <f>Tableau134[[#This Row],[Total HT]]+Tableau134[[#This Row],[TVA]]</f>
        <v>8</v>
      </c>
      <c r="H28" s="89">
        <f>100/Tableau134[[#This Row],[Total HT]]*Tableau134[[#This Row],[TVA]]</f>
        <v>8.108108108108107</v>
      </c>
      <c r="I28" t="s">
        <v>11</v>
      </c>
      <c r="J28" s="60">
        <f>Tableau134[[#This Row],[Total TTC]]</f>
        <v>8</v>
      </c>
      <c r="K28" s="100">
        <f>Tableau134[[#This Row],[Montant ]]-Tableau134[[#This Row],[TVA2]]</f>
        <v>7.4</v>
      </c>
      <c r="L28" s="30">
        <v>0.6</v>
      </c>
      <c r="M28" s="63"/>
      <c r="N28" s="5">
        <f>Tableau134[[#This Row],[Montant ]]</f>
        <v>8</v>
      </c>
    </row>
    <row r="29" spans="1:14" x14ac:dyDescent="0.25">
      <c r="A29" s="25">
        <v>23</v>
      </c>
      <c r="B29" s="36">
        <v>45561</v>
      </c>
      <c r="C29" t="s">
        <v>107</v>
      </c>
      <c r="D29" t="s">
        <v>20</v>
      </c>
      <c r="E29" s="100">
        <v>58.39</v>
      </c>
      <c r="F29" s="30">
        <v>4.6100000000000003</v>
      </c>
      <c r="G29" s="102">
        <f>Tableau134[[#This Row],[Total HT]]+Tableau134[[#This Row],[TVA]]</f>
        <v>63</v>
      </c>
      <c r="H29" s="87">
        <f>100/Tableau134[[#This Row],[Total HT]]*Tableau134[[#This Row],[TVA]]</f>
        <v>7.8951875321116631</v>
      </c>
      <c r="I29" t="s">
        <v>11</v>
      </c>
      <c r="J29" s="77">
        <f>Tableau134[[#This Row],[Total TTC]]</f>
        <v>63</v>
      </c>
      <c r="K29" s="58">
        <f>Tableau134[[#This Row],[Montant ]]-Tableau134[[#This Row],[TVA2]]</f>
        <v>58.39</v>
      </c>
      <c r="L29" s="30">
        <v>4.6100000000000003</v>
      </c>
      <c r="M29" s="64"/>
      <c r="N29" s="5">
        <f>Tableau134[[#This Row],[Montant ]]</f>
        <v>63</v>
      </c>
    </row>
    <row r="30" spans="1:14" x14ac:dyDescent="0.25">
      <c r="A30" s="25">
        <v>24</v>
      </c>
      <c r="B30" s="36">
        <v>45562</v>
      </c>
      <c r="C30" t="s">
        <v>104</v>
      </c>
      <c r="D30" t="s">
        <v>19</v>
      </c>
      <c r="E30" s="100">
        <v>1.99</v>
      </c>
      <c r="F30" s="30">
        <v>0</v>
      </c>
      <c r="G30" s="102">
        <f>Tableau134[[#This Row],[Total HT]]+Tableau134[[#This Row],[TVA]]</f>
        <v>1.99</v>
      </c>
      <c r="H30" s="89">
        <f>100/Tableau134[[#This Row],[Total HT]]*Tableau134[[#This Row],[TVA]]</f>
        <v>0</v>
      </c>
      <c r="I30" t="s">
        <v>15</v>
      </c>
      <c r="J30" s="60">
        <f>Tableau134[[#This Row],[Total TTC]]</f>
        <v>1.99</v>
      </c>
      <c r="K30" s="100">
        <f>Tableau134[[#This Row],[Montant ]]-Tableau134[[#This Row],[TVA2]]</f>
        <v>1.99</v>
      </c>
      <c r="L30" s="30">
        <v>0</v>
      </c>
      <c r="M30" s="64"/>
      <c r="N30" s="5">
        <f>Tableau134[[#This Row],[Montant ]]+0.01</f>
        <v>2</v>
      </c>
    </row>
    <row r="31" spans="1:14" x14ac:dyDescent="0.25">
      <c r="A31" s="25">
        <v>25</v>
      </c>
      <c r="B31" s="36">
        <v>45565</v>
      </c>
      <c r="C31" t="s">
        <v>113</v>
      </c>
      <c r="D31" t="s">
        <v>29</v>
      </c>
      <c r="E31" s="100">
        <v>23.64</v>
      </c>
      <c r="F31" s="30">
        <v>1.91</v>
      </c>
      <c r="G31" s="102">
        <f>Tableau134[[#This Row],[Total HT]]+Tableau134[[#This Row],[TVA]]</f>
        <v>25.55</v>
      </c>
      <c r="H31" s="89">
        <f>100/Tableau134[[#This Row],[Total HT]]*Tableau134[[#This Row],[TVA]]</f>
        <v>8.0795262267343482</v>
      </c>
      <c r="I31" t="s">
        <v>88</v>
      </c>
      <c r="J31" s="60">
        <f>Tableau134[[#This Row],[Total TTC]]</f>
        <v>25.55</v>
      </c>
      <c r="K31" s="100">
        <f>Tableau134[[#This Row],[Montant ]]-Tableau134[[#This Row],[TVA2]]</f>
        <v>23.64</v>
      </c>
      <c r="L31" s="30">
        <v>1.91</v>
      </c>
      <c r="M31" s="63"/>
      <c r="N31" s="5">
        <f>Tableau134[[#This Row],[Montant ]]</f>
        <v>25.55</v>
      </c>
    </row>
    <row r="32" spans="1:14" s="93" customFormat="1" x14ac:dyDescent="0.25">
      <c r="A32" s="91">
        <v>27</v>
      </c>
      <c r="B32" s="92">
        <v>45565</v>
      </c>
      <c r="C32" s="93" t="s">
        <v>110</v>
      </c>
      <c r="D32" s="93" t="s">
        <v>29</v>
      </c>
      <c r="E32" s="95">
        <v>113.78</v>
      </c>
      <c r="F32" s="41">
        <v>9.2200000000000006</v>
      </c>
      <c r="G32" s="102">
        <f>Tableau134[[#This Row],[Total HT]]+Tableau134[[#This Row],[TVA]]</f>
        <v>123</v>
      </c>
      <c r="H32" s="89">
        <f>100/Tableau134[[#This Row],[Total HT]]*Tableau134[[#This Row],[TVA]]</f>
        <v>8.1033573563016361</v>
      </c>
      <c r="I32" s="105" t="s">
        <v>11</v>
      </c>
      <c r="J32" s="94">
        <f>Tableau134[[#This Row],[Total TTC]]</f>
        <v>123</v>
      </c>
      <c r="K32" s="104">
        <f>Tableau134[[#This Row],[Montant ]]-Tableau134[[#This Row],[TVA2]]</f>
        <v>113.78</v>
      </c>
      <c r="L32" s="41">
        <v>9.2200000000000006</v>
      </c>
      <c r="M32" s="96"/>
      <c r="N32" s="5">
        <f>Tableau134[[#This Row],[Montant ]]</f>
        <v>123</v>
      </c>
    </row>
    <row r="33" spans="1:14" s="93" customFormat="1" x14ac:dyDescent="0.25">
      <c r="A33" s="91">
        <v>26</v>
      </c>
      <c r="B33" s="92">
        <v>45565</v>
      </c>
      <c r="C33" s="93" t="s">
        <v>108</v>
      </c>
      <c r="D33" s="93" t="s">
        <v>109</v>
      </c>
      <c r="E33" s="95">
        <v>7.31</v>
      </c>
      <c r="F33" s="41">
        <v>0.59</v>
      </c>
      <c r="G33" s="102">
        <f>Tableau134[[#This Row],[Total HT]]+Tableau134[[#This Row],[TVA]]</f>
        <v>7.8999999999999995</v>
      </c>
      <c r="H33" s="89">
        <f>100/Tableau134[[#This Row],[Total HT]]*Tableau134[[#This Row],[TVA]]</f>
        <v>8.0711354309165522</v>
      </c>
      <c r="I33" t="s">
        <v>11</v>
      </c>
      <c r="J33" s="94">
        <f>Tableau134[[#This Row],[Total TTC]]</f>
        <v>7.8999999999999995</v>
      </c>
      <c r="K33" s="100">
        <f>Tableau134[[#This Row],[Montant ]]-Tableau134[[#This Row],[TVA2]]</f>
        <v>7.31</v>
      </c>
      <c r="L33" s="41">
        <v>0.59</v>
      </c>
      <c r="M33" s="96"/>
      <c r="N33" s="5">
        <f>Tableau134[[#This Row],[Montant ]]</f>
        <v>7.8999999999999995</v>
      </c>
    </row>
    <row r="34" spans="1:14" x14ac:dyDescent="0.25">
      <c r="A34" s="43"/>
      <c r="B34" s="43"/>
      <c r="C34" s="44"/>
      <c r="D34" s="44"/>
      <c r="E34" s="101">
        <f>SUBTOTAL(9,Tableau134[Total HT])</f>
        <v>2086.2200000000007</v>
      </c>
      <c r="F34" s="45">
        <f>SUBTOTAL(9,Tableau134[TVA])</f>
        <v>165.63000000000002</v>
      </c>
      <c r="G34" s="45">
        <f>SUBTOTAL(9,Tableau134[Total TTC])</f>
        <v>2251.85</v>
      </c>
      <c r="H34" s="99"/>
      <c r="I34" s="45"/>
      <c r="J34" s="45">
        <f>SUBTOTAL(9,Tableau134[[Montant ]])</f>
        <v>2251.85</v>
      </c>
      <c r="K34" s="45">
        <f>SUBTOTAL(9,Tableau134[Montant 
NET])</f>
        <v>2066.6200000000003</v>
      </c>
      <c r="L34" s="45">
        <f>SUBTOTAL(9,Tableau134[TVA2])</f>
        <v>117.03</v>
      </c>
      <c r="M34" s="45"/>
      <c r="N34" s="45">
        <f>SUM(Tableau134[Décompte
VISA])</f>
        <v>1700.05</v>
      </c>
    </row>
    <row r="37" spans="1:14" x14ac:dyDescent="0.25">
      <c r="I37" s="25" t="s">
        <v>8</v>
      </c>
      <c r="J37" s="27">
        <f>SUMIF($I$7:$I$33,I37,$J$7:$J$33)</f>
        <v>0</v>
      </c>
      <c r="K37" s="27">
        <f>SUMIF($I$7:$I$33,I37,$K$7:$K$33)</f>
        <v>0</v>
      </c>
      <c r="L37" s="27">
        <f>SUMIF($I$7:$I$33,I37,$L$7:$L$33)</f>
        <v>0</v>
      </c>
      <c r="M37" s="63" t="str">
        <f>IF(J37&gt;0,100/K37*L37,"")</f>
        <v/>
      </c>
    </row>
    <row r="38" spans="1:14" x14ac:dyDescent="0.25">
      <c r="D38" s="26"/>
      <c r="I38" t="s">
        <v>64</v>
      </c>
      <c r="J38" s="27">
        <f t="shared" ref="J38:J48" si="0">SUMIF($I$7:$I$33,I38,$J$7:$J$33)</f>
        <v>42.55</v>
      </c>
      <c r="K38" s="27">
        <f t="shared" ref="K38:K50" si="1">SUMIF($I$7:$I$33,I38,$K$7:$K$33)</f>
        <v>39.370000000000005</v>
      </c>
      <c r="L38" s="27">
        <f t="shared" ref="L38:L50" si="2">SUMIF($I$7:$I$33,I38,$L$7:$L$33)</f>
        <v>3.1799999999999997</v>
      </c>
      <c r="M38" s="63">
        <f t="shared" ref="M38:M48" si="3">IF(J38&gt;0,100/K38*L38,"")</f>
        <v>8.0772161544323069</v>
      </c>
    </row>
    <row r="39" spans="1:14" x14ac:dyDescent="0.25">
      <c r="I39" t="s">
        <v>15</v>
      </c>
      <c r="J39" s="27">
        <f t="shared" si="0"/>
        <v>9.5299999999999994</v>
      </c>
      <c r="K39" s="27">
        <f t="shared" si="1"/>
        <v>9.5299999999999994</v>
      </c>
      <c r="L39" s="27">
        <f t="shared" si="2"/>
        <v>0</v>
      </c>
      <c r="M39" s="63">
        <f t="shared" si="3"/>
        <v>0</v>
      </c>
    </row>
    <row r="40" spans="1:14" x14ac:dyDescent="0.25">
      <c r="I40" s="29" t="s">
        <v>91</v>
      </c>
      <c r="J40" s="27">
        <f t="shared" si="0"/>
        <v>131.77000000000001</v>
      </c>
      <c r="K40" s="27">
        <f t="shared" si="1"/>
        <v>121.9</v>
      </c>
      <c r="L40" s="27">
        <f t="shared" si="2"/>
        <v>9.8699999999999992</v>
      </c>
      <c r="M40" s="63">
        <f t="shared" si="3"/>
        <v>8.0968006562756347</v>
      </c>
    </row>
    <row r="41" spans="1:14" x14ac:dyDescent="0.25">
      <c r="D41" s="26"/>
      <c r="I41" s="29" t="s">
        <v>6</v>
      </c>
      <c r="J41" s="27">
        <f t="shared" si="0"/>
        <v>0</v>
      </c>
      <c r="K41" s="27">
        <f t="shared" si="1"/>
        <v>0</v>
      </c>
      <c r="L41" s="27">
        <f t="shared" si="2"/>
        <v>0</v>
      </c>
      <c r="M41" s="63" t="str">
        <f t="shared" si="3"/>
        <v/>
      </c>
    </row>
    <row r="42" spans="1:14" x14ac:dyDescent="0.25">
      <c r="D42" s="26"/>
      <c r="I42" s="29" t="s">
        <v>11</v>
      </c>
      <c r="J42" s="27">
        <f t="shared" si="0"/>
        <v>1733.01</v>
      </c>
      <c r="K42" s="27">
        <f t="shared" si="1"/>
        <v>1632.1800000000003</v>
      </c>
      <c r="L42" s="27">
        <f t="shared" si="2"/>
        <v>82.63000000000001</v>
      </c>
      <c r="M42" s="63">
        <f t="shared" si="3"/>
        <v>5.0625543751301931</v>
      </c>
    </row>
    <row r="43" spans="1:14" x14ac:dyDescent="0.25">
      <c r="D43" s="26"/>
      <c r="I43" s="29" t="s">
        <v>112</v>
      </c>
      <c r="J43" s="27">
        <f t="shared" si="0"/>
        <v>0</v>
      </c>
      <c r="K43" s="27">
        <f t="shared" si="1"/>
        <v>0</v>
      </c>
      <c r="L43" s="27">
        <f t="shared" si="2"/>
        <v>0</v>
      </c>
      <c r="M43" s="63" t="str">
        <f t="shared" si="3"/>
        <v/>
      </c>
    </row>
    <row r="44" spans="1:14" x14ac:dyDescent="0.25">
      <c r="D44" s="26"/>
      <c r="I44" s="29" t="s">
        <v>12</v>
      </c>
      <c r="J44" s="27">
        <f t="shared" si="0"/>
        <v>0</v>
      </c>
      <c r="K44" s="27">
        <f t="shared" si="1"/>
        <v>0</v>
      </c>
      <c r="L44" s="27">
        <f t="shared" si="2"/>
        <v>0</v>
      </c>
      <c r="M44" s="63" t="str">
        <f t="shared" si="3"/>
        <v/>
      </c>
    </row>
    <row r="45" spans="1:14" x14ac:dyDescent="0.25">
      <c r="D45" s="26"/>
      <c r="I45" s="29" t="s">
        <v>67</v>
      </c>
      <c r="J45" s="27">
        <f t="shared" si="0"/>
        <v>0</v>
      </c>
      <c r="K45" s="27">
        <f t="shared" si="1"/>
        <v>0</v>
      </c>
      <c r="L45" s="27">
        <f t="shared" si="2"/>
        <v>0</v>
      </c>
      <c r="M45" s="63" t="str">
        <f t="shared" si="3"/>
        <v/>
      </c>
    </row>
    <row r="46" spans="1:14" x14ac:dyDescent="0.25">
      <c r="D46" s="26"/>
      <c r="I46" s="29" t="s">
        <v>14</v>
      </c>
      <c r="J46" s="27">
        <f t="shared" si="0"/>
        <v>0</v>
      </c>
      <c r="K46" s="27">
        <f t="shared" si="1"/>
        <v>0</v>
      </c>
      <c r="L46" s="27">
        <f t="shared" si="2"/>
        <v>0</v>
      </c>
      <c r="M46" s="63" t="str">
        <f t="shared" si="3"/>
        <v/>
      </c>
    </row>
    <row r="47" spans="1:14" x14ac:dyDescent="0.25">
      <c r="D47" s="26"/>
      <c r="I47" s="25" t="s">
        <v>60</v>
      </c>
      <c r="J47" s="27">
        <f t="shared" si="0"/>
        <v>309.44</v>
      </c>
      <c r="K47" s="27">
        <f t="shared" si="1"/>
        <v>240</v>
      </c>
      <c r="L47" s="27">
        <f t="shared" si="2"/>
        <v>19.440000000000001</v>
      </c>
      <c r="M47" s="63">
        <f t="shared" si="3"/>
        <v>8.1000000000000014</v>
      </c>
    </row>
    <row r="48" spans="1:14" x14ac:dyDescent="0.25">
      <c r="I48" s="29" t="s">
        <v>88</v>
      </c>
      <c r="J48" s="27">
        <f t="shared" si="0"/>
        <v>25.55</v>
      </c>
      <c r="K48" s="27">
        <f t="shared" si="1"/>
        <v>23.64</v>
      </c>
      <c r="L48" s="27">
        <f t="shared" si="2"/>
        <v>1.91</v>
      </c>
      <c r="M48" s="63">
        <f t="shared" si="3"/>
        <v>8.0795262267343482</v>
      </c>
    </row>
    <row r="49" spans="4:13" x14ac:dyDescent="0.25">
      <c r="I49" s="29"/>
      <c r="J49" s="27"/>
      <c r="K49" s="27"/>
      <c r="L49" s="27"/>
      <c r="M49" s="63"/>
    </row>
    <row r="50" spans="4:13" x14ac:dyDescent="0.25">
      <c r="I50" s="78" t="s">
        <v>93</v>
      </c>
      <c r="J50" s="27">
        <f t="shared" ref="J50" si="4">SUMIF($I$7:$I$33,I50,$J$7:$J$33)</f>
        <v>0</v>
      </c>
      <c r="K50" s="27">
        <f t="shared" si="1"/>
        <v>0</v>
      </c>
      <c r="L50" s="27">
        <f t="shared" si="2"/>
        <v>0</v>
      </c>
      <c r="M50" s="80"/>
    </row>
    <row r="51" spans="4:13" x14ac:dyDescent="0.25">
      <c r="D51" s="32"/>
      <c r="J51" s="27"/>
      <c r="K51" s="27"/>
      <c r="L51" s="27"/>
    </row>
    <row r="52" spans="4:13" x14ac:dyDescent="0.25">
      <c r="I52" s="31" t="s">
        <v>7</v>
      </c>
      <c r="J52" s="33">
        <f>SUM(J37:J50)</f>
        <v>2251.8500000000004</v>
      </c>
      <c r="K52" s="33">
        <f>SUM(K37:K50)</f>
        <v>2066.6200000000003</v>
      </c>
      <c r="L52" s="33">
        <f>SUM(L37:L50)</f>
        <v>117.03</v>
      </c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E07D-2400-42C7-8B51-5D9D240105A4}">
  <sheetPr>
    <pageSetUpPr fitToPage="1"/>
  </sheetPr>
  <dimension ref="A1:O40"/>
  <sheetViews>
    <sheetView workbookViewId="0">
      <pane xSplit="3" ySplit="5" topLeftCell="I21" activePane="bottomRight" state="frozen"/>
      <selection pane="topRight" activeCell="D1" sqref="D1"/>
      <selection pane="bottomLeft" activeCell="A6" sqref="A6"/>
      <selection pane="bottomRight" activeCell="C3" sqref="C3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34.7109375" customWidth="1"/>
    <col min="4" max="4" width="9.85546875" hidden="1" customWidth="1" outlineLevel="1"/>
    <col min="5" max="5" width="11" style="82" hidden="1" customWidth="1" outlineLevel="1"/>
    <col min="6" max="6" width="10" hidden="1" customWidth="1" outlineLevel="1"/>
    <col min="7" max="7" width="12.42578125" style="34" hidden="1" customWidth="1" outlineLevel="1"/>
    <col min="8" max="8" width="8.28515625" style="97" hidden="1" customWidth="1" outlineLevel="1"/>
    <col min="9" max="9" width="21.7109375" customWidth="1" collapsed="1"/>
    <col min="10" max="10" width="14.140625" style="34" customWidth="1"/>
    <col min="11" max="11" width="12.28515625" customWidth="1"/>
    <col min="12" max="12" width="11.42578125" style="49" customWidth="1"/>
    <col min="13" max="13" width="9.85546875" style="61" hidden="1" customWidth="1"/>
    <col min="14" max="14" width="11.42578125" style="5"/>
    <col min="15" max="15" width="0" style="5" hidden="1" customWidth="1"/>
  </cols>
  <sheetData>
    <row r="1" spans="1:15" x14ac:dyDescent="0.25">
      <c r="A1" s="25" t="s">
        <v>21</v>
      </c>
    </row>
    <row r="2" spans="1:15" x14ac:dyDescent="0.25">
      <c r="A2" s="25" t="s">
        <v>114</v>
      </c>
    </row>
    <row r="3" spans="1:15" x14ac:dyDescent="0.25">
      <c r="A3" s="25" t="s">
        <v>122</v>
      </c>
      <c r="C3" s="106">
        <v>1700.05</v>
      </c>
    </row>
    <row r="4" spans="1:15" x14ac:dyDescent="0.25">
      <c r="C4" s="106"/>
    </row>
    <row r="5" spans="1:15" s="34" customFormat="1" ht="36.75" x14ac:dyDescent="0.25">
      <c r="A5" s="65" t="s">
        <v>23</v>
      </c>
      <c r="B5" s="65" t="s">
        <v>24</v>
      </c>
      <c r="C5" s="66" t="s">
        <v>25</v>
      </c>
      <c r="D5" s="67" t="s">
        <v>75</v>
      </c>
      <c r="E5" s="68" t="s">
        <v>26</v>
      </c>
      <c r="F5" s="68" t="s">
        <v>95</v>
      </c>
      <c r="G5" s="84" t="s">
        <v>86</v>
      </c>
      <c r="H5" s="98" t="s">
        <v>94</v>
      </c>
      <c r="I5" s="69" t="s">
        <v>73</v>
      </c>
      <c r="J5" s="72" t="s">
        <v>117</v>
      </c>
      <c r="K5" s="72" t="s">
        <v>74</v>
      </c>
      <c r="L5" s="71" t="s">
        <v>116</v>
      </c>
      <c r="M5" s="81" t="s">
        <v>59</v>
      </c>
      <c r="N5" s="108" t="s">
        <v>118</v>
      </c>
      <c r="O5" s="109" t="s">
        <v>121</v>
      </c>
    </row>
    <row r="6" spans="1:15" x14ac:dyDescent="0.25">
      <c r="A6" s="25">
        <v>9</v>
      </c>
      <c r="B6" s="36">
        <v>45547</v>
      </c>
      <c r="C6" t="s">
        <v>101</v>
      </c>
      <c r="D6" t="s">
        <v>20</v>
      </c>
      <c r="E6" s="100">
        <v>67.5</v>
      </c>
      <c r="F6" s="30">
        <v>0</v>
      </c>
      <c r="G6" s="102">
        <f>Tableau1346[[#This Row],[Total HT]]+Tableau1346[[#This Row],[TVA]]</f>
        <v>67.5</v>
      </c>
      <c r="H6" s="89">
        <f>100/Tableau1346[[#This Row],[Total HT]]*Tableau1346[[#This Row],[TVA]]</f>
        <v>0</v>
      </c>
      <c r="I6" t="s">
        <v>11</v>
      </c>
      <c r="J6" s="28">
        <f>Tableau1346[[#This Row],[Total TTC]]</f>
        <v>67.5</v>
      </c>
      <c r="K6" s="103">
        <f>Tableau1346[[#This Row],[Montant 
CHF]]-Tableau1346[[#This Row],[TVA
CHF]]</f>
        <v>67.5</v>
      </c>
      <c r="L6" s="30">
        <v>0</v>
      </c>
      <c r="M6" s="63"/>
      <c r="N6" s="5">
        <f>Tableau1346[[#This Row],[Montant 
CHF]]</f>
        <v>67.5</v>
      </c>
    </row>
    <row r="7" spans="1:15" x14ac:dyDescent="0.25">
      <c r="A7" s="25">
        <v>11</v>
      </c>
      <c r="B7" s="36">
        <v>45548</v>
      </c>
      <c r="C7" t="s">
        <v>102</v>
      </c>
      <c r="D7" t="s">
        <v>20</v>
      </c>
      <c r="E7" s="100">
        <v>575.94000000000005</v>
      </c>
      <c r="F7" s="42">
        <v>44.06</v>
      </c>
      <c r="G7" s="102">
        <f>Tableau1346[[#This Row],[Total HT]]+Tableau1346[[#This Row],[TVA]]</f>
        <v>620</v>
      </c>
      <c r="H7" s="87">
        <f>100/Tableau1346[[#This Row],[Total HT]]*Tableau1346[[#This Row],[TVA]]</f>
        <v>7.6501024412265162</v>
      </c>
      <c r="I7" t="s">
        <v>11</v>
      </c>
      <c r="J7" s="28">
        <f>Tableau1346[[#This Row],[Total TTC]]</f>
        <v>620</v>
      </c>
      <c r="K7" s="103">
        <f>Tableau1346[[#This Row],[Montant 
CHF]]-Tableau1346[[#This Row],[TVA
CHF]]</f>
        <v>620</v>
      </c>
      <c r="L7" s="58">
        <v>0</v>
      </c>
      <c r="M7" s="63"/>
      <c r="N7" s="5">
        <f>Tableau1346[[#This Row],[Montant 
CHF]]</f>
        <v>620</v>
      </c>
    </row>
    <row r="8" spans="1:15" x14ac:dyDescent="0.25">
      <c r="A8" s="25">
        <v>12</v>
      </c>
      <c r="B8" s="36">
        <v>45554</v>
      </c>
      <c r="C8" t="s">
        <v>51</v>
      </c>
      <c r="D8" t="s">
        <v>20</v>
      </c>
      <c r="E8" s="100">
        <v>49.95</v>
      </c>
      <c r="F8" s="30">
        <v>4.05</v>
      </c>
      <c r="G8" s="102">
        <f>Tableau1346[[#This Row],[Total HT]]+Tableau1346[[#This Row],[TVA]]</f>
        <v>54</v>
      </c>
      <c r="H8" s="89">
        <f>100/Tableau1346[[#This Row],[Total HT]]*Tableau1346[[#This Row],[TVA]]</f>
        <v>8.108108108108107</v>
      </c>
      <c r="I8" t="s">
        <v>11</v>
      </c>
      <c r="J8" s="60">
        <f>Tableau1346[[#This Row],[Total TTC]]</f>
        <v>54</v>
      </c>
      <c r="K8" s="100">
        <f>Tableau1346[[#This Row],[Montant 
CHF]]-Tableau1346[[#This Row],[TVA
CHF]]</f>
        <v>49.95</v>
      </c>
      <c r="L8" s="30">
        <v>4.05</v>
      </c>
      <c r="M8" s="63"/>
      <c r="N8" s="5">
        <f>Tableau1346[[#This Row],[Montant 
CHF]]</f>
        <v>54</v>
      </c>
    </row>
    <row r="9" spans="1:15" x14ac:dyDescent="0.25">
      <c r="A9" s="25">
        <v>13</v>
      </c>
      <c r="B9" s="36">
        <v>45554</v>
      </c>
      <c r="C9" t="s">
        <v>52</v>
      </c>
      <c r="D9" t="s">
        <v>19</v>
      </c>
      <c r="E9" s="100">
        <v>21.28</v>
      </c>
      <c r="F9" s="30">
        <v>1.72</v>
      </c>
      <c r="G9" s="102">
        <f>Tableau1346[[#This Row],[Total HT]]+Tableau1346[[#This Row],[TVA]]</f>
        <v>23</v>
      </c>
      <c r="H9" s="89">
        <f>100/Tableau1346[[#This Row],[Total HT]]*Tableau1346[[#This Row],[TVA]]</f>
        <v>8.0827067669172923</v>
      </c>
      <c r="I9" t="s">
        <v>64</v>
      </c>
      <c r="J9" s="60">
        <f>Tableau1346[[#This Row],[Total TTC]]</f>
        <v>23</v>
      </c>
      <c r="K9" s="100">
        <f>Tableau1346[[#This Row],[Montant 
CHF]]-Tableau1346[[#This Row],[TVA
CHF]]</f>
        <v>21.28</v>
      </c>
      <c r="L9" s="30">
        <v>1.72</v>
      </c>
      <c r="M9" s="63"/>
      <c r="N9" s="5">
        <f>Tableau1346[[#This Row],[Montant 
CHF]]</f>
        <v>23</v>
      </c>
    </row>
    <row r="10" spans="1:15" x14ac:dyDescent="0.25">
      <c r="A10" s="25">
        <v>14</v>
      </c>
      <c r="B10" s="36">
        <v>45555</v>
      </c>
      <c r="C10" t="s">
        <v>103</v>
      </c>
      <c r="D10" t="s">
        <v>20</v>
      </c>
      <c r="E10" s="100">
        <v>324.67</v>
      </c>
      <c r="F10" s="30">
        <v>25.33</v>
      </c>
      <c r="G10" s="102">
        <f>Tableau1346[[#This Row],[Total HT]]+Tableau1346[[#This Row],[TVA]]</f>
        <v>350</v>
      </c>
      <c r="H10" s="87">
        <f>100/Tableau1346[[#This Row],[Total HT]]*Tableau1346[[#This Row],[TVA]]</f>
        <v>7.8017679489943621</v>
      </c>
      <c r="I10" t="s">
        <v>11</v>
      </c>
      <c r="J10" s="77">
        <f>Tableau1346[[#This Row],[Total TTC]]</f>
        <v>350</v>
      </c>
      <c r="K10" s="58">
        <f>Tableau1346[[#This Row],[Montant 
CHF]]-Tableau1346[[#This Row],[TVA
CHF]]</f>
        <v>324.67</v>
      </c>
      <c r="L10" s="30">
        <v>25.33</v>
      </c>
      <c r="M10" s="63"/>
      <c r="N10" s="5">
        <f>Tableau1346[[#This Row],[Montant 
CHF]]</f>
        <v>350</v>
      </c>
    </row>
    <row r="11" spans="1:15" x14ac:dyDescent="0.25">
      <c r="A11" s="25">
        <v>15</v>
      </c>
      <c r="B11" s="36">
        <v>45555</v>
      </c>
      <c r="C11" t="s">
        <v>104</v>
      </c>
      <c r="D11" t="s">
        <v>19</v>
      </c>
      <c r="E11" s="100">
        <v>4.8499999999999996</v>
      </c>
      <c r="F11" s="30">
        <v>0</v>
      </c>
      <c r="G11" s="102">
        <f>Tableau1346[[#This Row],[Total HT]]+Tableau1346[[#This Row],[TVA]]</f>
        <v>4.8499999999999996</v>
      </c>
      <c r="H11" s="89">
        <f>100/Tableau1346[[#This Row],[Total HT]]*Tableau1346[[#This Row],[TVA]]</f>
        <v>0</v>
      </c>
      <c r="I11" t="s">
        <v>15</v>
      </c>
      <c r="J11" s="60">
        <f>Tableau1346[[#This Row],[Total TTC]]</f>
        <v>4.8499999999999996</v>
      </c>
      <c r="K11" s="100">
        <f>Tableau1346[[#This Row],[Montant 
CHF]]-Tableau1346[[#This Row],[TVA
CHF]]</f>
        <v>4.8499999999999996</v>
      </c>
      <c r="L11" s="30">
        <v>0</v>
      </c>
      <c r="M11" s="63"/>
      <c r="N11" s="5">
        <f>Tableau1346[[#This Row],[Montant 
CHF]]</f>
        <v>4.8499999999999996</v>
      </c>
    </row>
    <row r="12" spans="1:15" x14ac:dyDescent="0.25">
      <c r="A12" s="25">
        <v>16</v>
      </c>
      <c r="B12" s="36">
        <v>45557</v>
      </c>
      <c r="C12" t="s">
        <v>105</v>
      </c>
      <c r="D12" t="s">
        <v>19</v>
      </c>
      <c r="E12" s="100">
        <v>121.9</v>
      </c>
      <c r="F12" s="30">
        <v>9.8699999999999992</v>
      </c>
      <c r="G12" s="102">
        <f>Tableau1346[[#This Row],[Total HT]]+Tableau1346[[#This Row],[TVA]]</f>
        <v>131.77000000000001</v>
      </c>
      <c r="H12" s="89">
        <f>100/Tableau1346[[#This Row],[Total HT]]*Tableau1346[[#This Row],[TVA]]</f>
        <v>8.0968006562756347</v>
      </c>
      <c r="I12" t="s">
        <v>91</v>
      </c>
      <c r="J12" s="60">
        <f>Tableau1346[[#This Row],[Total TTC]]</f>
        <v>131.77000000000001</v>
      </c>
      <c r="K12" s="100">
        <f>Tableau1346[[#This Row],[Montant 
CHF]]-Tableau1346[[#This Row],[TVA
CHF]]</f>
        <v>121.9</v>
      </c>
      <c r="L12" s="30">
        <v>9.8699999999999992</v>
      </c>
      <c r="M12" s="63"/>
      <c r="N12" s="5">
        <v>131.75</v>
      </c>
      <c r="O12" s="5">
        <f>Tableau1346[[#This Row],[Décompte
VISA]]-Tableau1346[[#This Row],[Montant 
CHF]]</f>
        <v>-2.0000000000010232E-2</v>
      </c>
    </row>
    <row r="13" spans="1:15" x14ac:dyDescent="0.25">
      <c r="A13" s="25">
        <v>18</v>
      </c>
      <c r="B13" s="36">
        <v>45558</v>
      </c>
      <c r="C13" t="s">
        <v>51</v>
      </c>
      <c r="D13" t="s">
        <v>20</v>
      </c>
      <c r="E13" s="100">
        <v>159.11000000000001</v>
      </c>
      <c r="F13" s="30">
        <v>20.89</v>
      </c>
      <c r="G13" s="102">
        <f>Tableau1346[[#This Row],[Total HT]]+Tableau1346[[#This Row],[TVA]]</f>
        <v>180</v>
      </c>
      <c r="H13" s="87">
        <f>100/Tableau1346[[#This Row],[Total HT]]*Tableau1346[[#This Row],[TVA]]</f>
        <v>13.129281629061655</v>
      </c>
      <c r="I13" t="s">
        <v>11</v>
      </c>
      <c r="J13" s="77">
        <f>Tableau1346[[#This Row],[Total TTC]]</f>
        <v>180</v>
      </c>
      <c r="K13" s="58">
        <f>Tableau1346[[#This Row],[Montant 
CHF]]-Tableau1346[[#This Row],[TVA
CHF]]</f>
        <v>159.11000000000001</v>
      </c>
      <c r="L13" s="30">
        <v>20.89</v>
      </c>
      <c r="M13" s="63"/>
      <c r="N13" s="5">
        <f>Tableau1346[[#This Row],[Montant 
CHF]]</f>
        <v>180</v>
      </c>
    </row>
    <row r="14" spans="1:15" x14ac:dyDescent="0.25">
      <c r="A14" s="25">
        <v>19</v>
      </c>
      <c r="B14" s="36">
        <v>45559</v>
      </c>
      <c r="C14" t="s">
        <v>106</v>
      </c>
      <c r="D14" t="s">
        <v>29</v>
      </c>
      <c r="E14" s="100">
        <v>11.1</v>
      </c>
      <c r="F14" s="30">
        <v>0.9</v>
      </c>
      <c r="G14" s="102">
        <f>Tableau1346[[#This Row],[Total HT]]+Tableau1346[[#This Row],[TVA]]</f>
        <v>12</v>
      </c>
      <c r="H14" s="89">
        <f>100/Tableau1346[[#This Row],[Total HT]]*Tableau1346[[#This Row],[TVA]]</f>
        <v>8.1081081081081088</v>
      </c>
      <c r="I14" t="s">
        <v>11</v>
      </c>
      <c r="J14" s="60">
        <f>Tableau1346[[#This Row],[Total TTC]]</f>
        <v>12</v>
      </c>
      <c r="K14" s="100">
        <f>Tableau1346[[#This Row],[Montant 
CHF]]-Tableau1346[[#This Row],[TVA
CHF]]</f>
        <v>11.1</v>
      </c>
      <c r="L14" s="30">
        <v>0.9</v>
      </c>
      <c r="M14" s="63"/>
      <c r="N14" s="5">
        <f>Tableau1346[[#This Row],[Montant 
CHF]]</f>
        <v>12</v>
      </c>
    </row>
    <row r="15" spans="1:15" x14ac:dyDescent="0.25">
      <c r="A15" s="25">
        <v>21</v>
      </c>
      <c r="B15" s="36">
        <v>45560</v>
      </c>
      <c r="C15" t="s">
        <v>51</v>
      </c>
      <c r="D15" t="s">
        <v>20</v>
      </c>
      <c r="E15" s="100">
        <v>25.44</v>
      </c>
      <c r="F15" s="30">
        <v>2.06</v>
      </c>
      <c r="G15" s="102">
        <f>Tableau1346[[#This Row],[Total HT]]+Tableau1346[[#This Row],[TVA]]</f>
        <v>27.5</v>
      </c>
      <c r="H15" s="89">
        <f>100/Tableau1346[[#This Row],[Total HT]]*Tableau1346[[#This Row],[TVA]]</f>
        <v>8.0974842767295598</v>
      </c>
      <c r="I15" t="s">
        <v>11</v>
      </c>
      <c r="J15" s="60">
        <f>Tableau1346[[#This Row],[Total TTC]]</f>
        <v>27.5</v>
      </c>
      <c r="K15" s="100">
        <f>Tableau1346[[#This Row],[Montant 
CHF]]-Tableau1346[[#This Row],[TVA
CHF]]</f>
        <v>25.44</v>
      </c>
      <c r="L15" s="30">
        <v>2.06</v>
      </c>
      <c r="M15" s="63"/>
      <c r="N15" s="5">
        <f>Tableau1346[[#This Row],[Montant 
CHF]]</f>
        <v>27.5</v>
      </c>
    </row>
    <row r="16" spans="1:15" x14ac:dyDescent="0.25">
      <c r="A16" s="25">
        <v>22</v>
      </c>
      <c r="B16" s="36">
        <v>45560</v>
      </c>
      <c r="C16" t="s">
        <v>51</v>
      </c>
      <c r="D16" t="s">
        <v>20</v>
      </c>
      <c r="E16" s="100">
        <v>7.4</v>
      </c>
      <c r="F16" s="30">
        <v>0.6</v>
      </c>
      <c r="G16" s="102">
        <f>Tableau1346[[#This Row],[Total HT]]+Tableau1346[[#This Row],[TVA]]</f>
        <v>8</v>
      </c>
      <c r="H16" s="89">
        <f>100/Tableau1346[[#This Row],[Total HT]]*Tableau1346[[#This Row],[TVA]]</f>
        <v>8.108108108108107</v>
      </c>
      <c r="I16" t="s">
        <v>11</v>
      </c>
      <c r="J16" s="60">
        <f>Tableau1346[[#This Row],[Total TTC]]</f>
        <v>8</v>
      </c>
      <c r="K16" s="100">
        <f>Tableau1346[[#This Row],[Montant 
CHF]]-Tableau1346[[#This Row],[TVA
CHF]]</f>
        <v>7.4</v>
      </c>
      <c r="L16" s="30">
        <v>0.6</v>
      </c>
      <c r="M16" s="63"/>
      <c r="N16" s="5">
        <f>Tableau1346[[#This Row],[Montant 
CHF]]</f>
        <v>8</v>
      </c>
    </row>
    <row r="17" spans="1:15" x14ac:dyDescent="0.25">
      <c r="A17" s="25">
        <v>23</v>
      </c>
      <c r="B17" s="36">
        <v>45561</v>
      </c>
      <c r="C17" t="s">
        <v>107</v>
      </c>
      <c r="D17" t="s">
        <v>20</v>
      </c>
      <c r="E17" s="100">
        <v>58.39</v>
      </c>
      <c r="F17" s="30">
        <v>4.6100000000000003</v>
      </c>
      <c r="G17" s="102">
        <f>Tableau1346[[#This Row],[Total HT]]+Tableau1346[[#This Row],[TVA]]</f>
        <v>63</v>
      </c>
      <c r="H17" s="87">
        <f>100/Tableau1346[[#This Row],[Total HT]]*Tableau1346[[#This Row],[TVA]]</f>
        <v>7.8951875321116631</v>
      </c>
      <c r="I17" t="s">
        <v>11</v>
      </c>
      <c r="J17" s="77">
        <f>Tableau1346[[#This Row],[Total TTC]]</f>
        <v>63</v>
      </c>
      <c r="K17" s="58">
        <f>Tableau1346[[#This Row],[Montant 
CHF]]-Tableau1346[[#This Row],[TVA
CHF]]</f>
        <v>58.39</v>
      </c>
      <c r="L17" s="30">
        <v>4.6100000000000003</v>
      </c>
      <c r="M17" s="64"/>
      <c r="N17" s="5">
        <f>Tableau1346[[#This Row],[Montant 
CHF]]</f>
        <v>63</v>
      </c>
    </row>
    <row r="18" spans="1:15" x14ac:dyDescent="0.25">
      <c r="A18" s="25">
        <v>24</v>
      </c>
      <c r="B18" s="36">
        <v>45562</v>
      </c>
      <c r="C18" t="s">
        <v>104</v>
      </c>
      <c r="D18" t="s">
        <v>19</v>
      </c>
      <c r="E18" s="100">
        <v>1.99</v>
      </c>
      <c r="F18" s="30">
        <v>0</v>
      </c>
      <c r="G18" s="102">
        <f>Tableau1346[[#This Row],[Total HT]]+Tableau1346[[#This Row],[TVA]]</f>
        <v>1.99</v>
      </c>
      <c r="H18" s="89">
        <f>100/Tableau1346[[#This Row],[Total HT]]*Tableau1346[[#This Row],[TVA]]</f>
        <v>0</v>
      </c>
      <c r="I18" t="s">
        <v>15</v>
      </c>
      <c r="J18" s="60">
        <f>Tableau1346[[#This Row],[Total TTC]]</f>
        <v>1.99</v>
      </c>
      <c r="K18" s="100">
        <f>Tableau1346[[#This Row],[Montant 
CHF]]-Tableau1346[[#This Row],[TVA
CHF]]</f>
        <v>1.99</v>
      </c>
      <c r="L18" s="30">
        <v>0</v>
      </c>
      <c r="M18" s="64"/>
      <c r="N18" s="5">
        <v>2</v>
      </c>
      <c r="O18" s="5">
        <f>Tableau1346[[#This Row],[Décompte
VISA]]-Tableau1346[[#This Row],[Montant 
CHF]]</f>
        <v>1.0000000000000009E-2</v>
      </c>
    </row>
    <row r="19" spans="1:15" x14ac:dyDescent="0.25">
      <c r="A19" s="25">
        <v>25</v>
      </c>
      <c r="B19" s="36">
        <v>45565</v>
      </c>
      <c r="C19" t="s">
        <v>113</v>
      </c>
      <c r="D19" t="s">
        <v>29</v>
      </c>
      <c r="E19" s="100">
        <v>23.64</v>
      </c>
      <c r="F19" s="30">
        <v>1.91</v>
      </c>
      <c r="G19" s="102">
        <f>Tableau1346[[#This Row],[Total HT]]+Tableau1346[[#This Row],[TVA]]</f>
        <v>25.55</v>
      </c>
      <c r="H19" s="89">
        <f>100/Tableau1346[[#This Row],[Total HT]]*Tableau1346[[#This Row],[TVA]]</f>
        <v>8.0795262267343482</v>
      </c>
      <c r="I19" t="s">
        <v>88</v>
      </c>
      <c r="J19" s="60">
        <f>Tableau1346[[#This Row],[Total TTC]]</f>
        <v>25.55</v>
      </c>
      <c r="K19" s="100">
        <f>Tableau1346[[#This Row],[Montant 
CHF]]-Tableau1346[[#This Row],[TVA
CHF]]</f>
        <v>23.64</v>
      </c>
      <c r="L19" s="30">
        <v>1.91</v>
      </c>
      <c r="M19" s="63"/>
      <c r="N19" s="5">
        <f>Tableau1346[[#This Row],[Montant 
CHF]]</f>
        <v>25.55</v>
      </c>
    </row>
    <row r="20" spans="1:15" x14ac:dyDescent="0.25">
      <c r="A20" s="91">
        <v>26</v>
      </c>
      <c r="B20" s="92">
        <v>45565</v>
      </c>
      <c r="C20" s="93" t="s">
        <v>108</v>
      </c>
      <c r="D20" s="93" t="s">
        <v>109</v>
      </c>
      <c r="E20" s="95">
        <v>7.31</v>
      </c>
      <c r="F20" s="41">
        <v>0.59</v>
      </c>
      <c r="G20" s="102">
        <f>Tableau1346[[#This Row],[Total HT]]+Tableau1346[[#This Row],[TVA]]</f>
        <v>7.8999999999999995</v>
      </c>
      <c r="H20" s="89">
        <f>100/Tableau1346[[#This Row],[Total HT]]*Tableau1346[[#This Row],[TVA]]</f>
        <v>8.0711354309165522</v>
      </c>
      <c r="I20" t="s">
        <v>11</v>
      </c>
      <c r="J20" s="94">
        <f>Tableau1346[[#This Row],[Total TTC]]</f>
        <v>7.8999999999999995</v>
      </c>
      <c r="K20" s="100">
        <f>Tableau1346[[#This Row],[Montant 
CHF]]-Tableau1346[[#This Row],[TVA
CHF]]</f>
        <v>7.31</v>
      </c>
      <c r="L20" s="41">
        <v>0.59</v>
      </c>
      <c r="M20" s="96"/>
      <c r="N20" s="5">
        <f>Tableau1346[[#This Row],[Montant 
CHF]]</f>
        <v>7.8999999999999995</v>
      </c>
    </row>
    <row r="21" spans="1:15" x14ac:dyDescent="0.25">
      <c r="A21" s="91">
        <v>27</v>
      </c>
      <c r="B21" s="92">
        <v>45565</v>
      </c>
      <c r="C21" s="93" t="s">
        <v>110</v>
      </c>
      <c r="D21" s="93" t="s">
        <v>29</v>
      </c>
      <c r="E21" s="95">
        <v>113.78</v>
      </c>
      <c r="F21" s="41">
        <v>9.2200000000000006</v>
      </c>
      <c r="G21" s="102">
        <f>Tableau1346[[#This Row],[Total HT]]+Tableau1346[[#This Row],[TVA]]</f>
        <v>123</v>
      </c>
      <c r="H21" s="89">
        <f>100/Tableau1346[[#This Row],[Total HT]]*Tableau1346[[#This Row],[TVA]]</f>
        <v>8.1033573563016361</v>
      </c>
      <c r="I21" s="110" t="s">
        <v>11</v>
      </c>
      <c r="J21" s="94">
        <f>Tableau1346[[#This Row],[Total TTC]]</f>
        <v>123</v>
      </c>
      <c r="K21" s="104">
        <f>Tableau1346[[#This Row],[Montant 
CHF]]-Tableau1346[[#This Row],[TVA
CHF]]</f>
        <v>113.78</v>
      </c>
      <c r="L21" s="41">
        <v>9.2200000000000006</v>
      </c>
      <c r="M21" s="96"/>
      <c r="N21" s="5">
        <f>Tableau1346[[#This Row],[Montant 
CHF]]</f>
        <v>123</v>
      </c>
    </row>
    <row r="22" spans="1:15" x14ac:dyDescent="0.25">
      <c r="A22" s="43"/>
      <c r="B22" s="43"/>
      <c r="C22" s="44"/>
      <c r="D22" s="44"/>
      <c r="E22" s="101">
        <f>SUBTOTAL(9,Tableau1346[Total HT])</f>
        <v>1574.2500000000005</v>
      </c>
      <c r="F22" s="45">
        <f>SUBTOTAL(9,Tableau1346[TVA])</f>
        <v>125.81</v>
      </c>
      <c r="G22" s="45">
        <f>SUBTOTAL(9,Tableau1346[Total TTC])</f>
        <v>1700.06</v>
      </c>
      <c r="H22" s="99"/>
      <c r="I22" s="45"/>
      <c r="J22" s="45">
        <f>SUBTOTAL(9,Tableau1346[Montant 
CHF])</f>
        <v>1700.06</v>
      </c>
      <c r="K22" s="45">
        <f>SUBTOTAL(9,Tableau1346[Montant 
NET])</f>
        <v>1618.3100000000004</v>
      </c>
      <c r="L22" s="45">
        <f>SUBTOTAL(9,Tableau1346[TVA
CHF])</f>
        <v>81.749999999999986</v>
      </c>
      <c r="M22" s="45"/>
      <c r="N22" s="45">
        <f>SUM(Tableau1346[Décompte
VISA])</f>
        <v>1700.05</v>
      </c>
      <c r="O22" s="45">
        <f>SUM(Tableau1346[Arrondi])</f>
        <v>-1.0000000000010223E-2</v>
      </c>
    </row>
    <row r="25" spans="1:15" x14ac:dyDescent="0.25">
      <c r="I25" s="25" t="s">
        <v>8</v>
      </c>
      <c r="J25" s="27">
        <f t="shared" ref="J25:J36" si="0">SUMIF($I$6:$I$21,I25,$J$6:$J$21)</f>
        <v>0</v>
      </c>
      <c r="K25" s="27">
        <f t="shared" ref="K25:K36" si="1">SUMIF($I$6:$I$21,I25,$K$6:$K$21)</f>
        <v>0</v>
      </c>
      <c r="L25" s="27">
        <f t="shared" ref="L25:L36" si="2">SUMIF($I$6:$I$21,I25,$L$6:$L$21)</f>
        <v>0</v>
      </c>
      <c r="M25" s="63" t="str">
        <f>IF(J25&gt;0,100/K25*L25,"")</f>
        <v/>
      </c>
    </row>
    <row r="26" spans="1:15" x14ac:dyDescent="0.25">
      <c r="D26" s="26"/>
      <c r="I26" t="s">
        <v>64</v>
      </c>
      <c r="J26" s="27">
        <f t="shared" si="0"/>
        <v>23</v>
      </c>
      <c r="K26" s="27">
        <f t="shared" si="1"/>
        <v>21.28</v>
      </c>
      <c r="L26" s="27">
        <f t="shared" si="2"/>
        <v>1.72</v>
      </c>
      <c r="M26" s="63">
        <f t="shared" ref="M26:M36" si="3">IF(J26&gt;0,100/K26*L26,"")</f>
        <v>8.0827067669172923</v>
      </c>
    </row>
    <row r="27" spans="1:15" x14ac:dyDescent="0.25">
      <c r="I27" t="s">
        <v>15</v>
      </c>
      <c r="J27" s="27">
        <f t="shared" si="0"/>
        <v>6.84</v>
      </c>
      <c r="K27" s="27">
        <f t="shared" si="1"/>
        <v>6.84</v>
      </c>
      <c r="L27" s="27">
        <f t="shared" si="2"/>
        <v>0</v>
      </c>
      <c r="M27" s="63">
        <f t="shared" si="3"/>
        <v>0</v>
      </c>
    </row>
    <row r="28" spans="1:15" x14ac:dyDescent="0.25">
      <c r="I28" s="29" t="s">
        <v>91</v>
      </c>
      <c r="J28" s="27">
        <f t="shared" si="0"/>
        <v>131.77000000000001</v>
      </c>
      <c r="K28" s="27">
        <f t="shared" si="1"/>
        <v>121.9</v>
      </c>
      <c r="L28" s="27">
        <f t="shared" si="2"/>
        <v>9.8699999999999992</v>
      </c>
      <c r="M28" s="63">
        <f t="shared" si="3"/>
        <v>8.0968006562756347</v>
      </c>
    </row>
    <row r="29" spans="1:15" x14ac:dyDescent="0.25">
      <c r="D29" s="26"/>
      <c r="I29" s="29" t="s">
        <v>6</v>
      </c>
      <c r="J29" s="27">
        <f t="shared" si="0"/>
        <v>0</v>
      </c>
      <c r="K29" s="27">
        <f t="shared" si="1"/>
        <v>0</v>
      </c>
      <c r="L29" s="27">
        <f t="shared" si="2"/>
        <v>0</v>
      </c>
      <c r="M29" s="63" t="str">
        <f t="shared" si="3"/>
        <v/>
      </c>
    </row>
    <row r="30" spans="1:15" x14ac:dyDescent="0.25">
      <c r="D30" s="26"/>
      <c r="I30" s="29" t="s">
        <v>11</v>
      </c>
      <c r="J30" s="27">
        <f t="shared" si="0"/>
        <v>1512.9</v>
      </c>
      <c r="K30" s="27">
        <f t="shared" si="1"/>
        <v>1444.65</v>
      </c>
      <c r="L30" s="27">
        <f t="shared" si="2"/>
        <v>68.25</v>
      </c>
      <c r="M30" s="63">
        <f t="shared" si="3"/>
        <v>4.7243276918284707</v>
      </c>
    </row>
    <row r="31" spans="1:15" x14ac:dyDescent="0.25">
      <c r="D31" s="26"/>
      <c r="I31" s="29" t="s">
        <v>112</v>
      </c>
      <c r="J31" s="27">
        <f t="shared" si="0"/>
        <v>0</v>
      </c>
      <c r="K31" s="27">
        <f t="shared" si="1"/>
        <v>0</v>
      </c>
      <c r="L31" s="27">
        <f t="shared" si="2"/>
        <v>0</v>
      </c>
      <c r="M31" s="63" t="str">
        <f t="shared" si="3"/>
        <v/>
      </c>
    </row>
    <row r="32" spans="1:15" x14ac:dyDescent="0.25">
      <c r="D32" s="26"/>
      <c r="I32" s="29" t="s">
        <v>12</v>
      </c>
      <c r="J32" s="27">
        <f t="shared" si="0"/>
        <v>0</v>
      </c>
      <c r="K32" s="27">
        <f t="shared" si="1"/>
        <v>0</v>
      </c>
      <c r="L32" s="27">
        <f t="shared" si="2"/>
        <v>0</v>
      </c>
      <c r="M32" s="63" t="str">
        <f t="shared" si="3"/>
        <v/>
      </c>
    </row>
    <row r="33" spans="4:13" x14ac:dyDescent="0.25">
      <c r="D33" s="26"/>
      <c r="I33" s="29" t="s">
        <v>67</v>
      </c>
      <c r="J33" s="27">
        <f t="shared" si="0"/>
        <v>0</v>
      </c>
      <c r="K33" s="27">
        <f t="shared" si="1"/>
        <v>0</v>
      </c>
      <c r="L33" s="27">
        <f t="shared" si="2"/>
        <v>0</v>
      </c>
      <c r="M33" s="63" t="str">
        <f t="shared" si="3"/>
        <v/>
      </c>
    </row>
    <row r="34" spans="4:13" x14ac:dyDescent="0.25">
      <c r="D34" s="26"/>
      <c r="I34" s="29" t="s">
        <v>14</v>
      </c>
      <c r="J34" s="27">
        <f t="shared" si="0"/>
        <v>0</v>
      </c>
      <c r="K34" s="27">
        <f t="shared" si="1"/>
        <v>0</v>
      </c>
      <c r="L34" s="27">
        <f t="shared" si="2"/>
        <v>0</v>
      </c>
      <c r="M34" s="63" t="str">
        <f t="shared" si="3"/>
        <v/>
      </c>
    </row>
    <row r="35" spans="4:13" x14ac:dyDescent="0.25">
      <c r="D35" s="26"/>
      <c r="I35" s="25" t="s">
        <v>60</v>
      </c>
      <c r="J35" s="27">
        <f t="shared" si="0"/>
        <v>0</v>
      </c>
      <c r="K35" s="27">
        <f t="shared" si="1"/>
        <v>0</v>
      </c>
      <c r="L35" s="27">
        <f t="shared" si="2"/>
        <v>0</v>
      </c>
      <c r="M35" s="63" t="str">
        <f t="shared" si="3"/>
        <v/>
      </c>
    </row>
    <row r="36" spans="4:13" x14ac:dyDescent="0.25">
      <c r="I36" s="29" t="s">
        <v>88</v>
      </c>
      <c r="J36" s="27">
        <f t="shared" si="0"/>
        <v>25.55</v>
      </c>
      <c r="K36" s="27">
        <f t="shared" si="1"/>
        <v>23.64</v>
      </c>
      <c r="L36" s="27">
        <f t="shared" si="2"/>
        <v>1.91</v>
      </c>
      <c r="M36" s="63">
        <f t="shared" si="3"/>
        <v>8.0795262267343482</v>
      </c>
    </row>
    <row r="37" spans="4:13" x14ac:dyDescent="0.25">
      <c r="I37" s="29"/>
      <c r="J37" s="27"/>
      <c r="K37" s="27"/>
      <c r="L37" s="27"/>
      <c r="M37" s="63"/>
    </row>
    <row r="38" spans="4:13" x14ac:dyDescent="0.25">
      <c r="I38" s="78" t="s">
        <v>93</v>
      </c>
      <c r="J38" s="27">
        <v>-0.01</v>
      </c>
      <c r="K38" s="27">
        <v>-0.01</v>
      </c>
      <c r="L38" s="27">
        <f>SUMIF($I$6:$I$21,I38,$L$6:$L$21)</f>
        <v>0</v>
      </c>
      <c r="M38" s="80"/>
    </row>
    <row r="39" spans="4:13" x14ac:dyDescent="0.25">
      <c r="D39" s="32"/>
      <c r="J39" s="27"/>
      <c r="K39" s="27"/>
      <c r="L39" s="27"/>
    </row>
    <row r="40" spans="4:13" x14ac:dyDescent="0.25">
      <c r="I40" s="31" t="s">
        <v>7</v>
      </c>
      <c r="J40" s="33">
        <f>SUM(J25:J38)</f>
        <v>1700.0500000000002</v>
      </c>
      <c r="K40" s="33">
        <f>SUM(K25:K38)</f>
        <v>1618.3000000000002</v>
      </c>
      <c r="L40" s="33">
        <f>SUM(L25:L38)</f>
        <v>81.75</v>
      </c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0E04-21A0-4B60-BA6E-5B2877835C4F}">
  <sheetPr>
    <pageSetUpPr fitToPage="1"/>
  </sheetPr>
  <dimension ref="A1:M26"/>
  <sheetViews>
    <sheetView workbookViewId="0">
      <pane xSplit="3" ySplit="4" topLeftCell="D14" activePane="bottomRight" state="frozen"/>
      <selection pane="topRight" activeCell="D1" sqref="D1"/>
      <selection pane="bottomLeft" activeCell="A6" sqref="A6"/>
      <selection pane="bottomRight" activeCell="N18" sqref="N18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34.7109375" customWidth="1"/>
    <col min="4" max="4" width="9.85546875" hidden="1" customWidth="1" outlineLevel="1"/>
    <col min="5" max="5" width="11" style="82" hidden="1" customWidth="1" outlineLevel="1"/>
    <col min="6" max="6" width="10" hidden="1" customWidth="1" outlineLevel="1"/>
    <col min="7" max="7" width="12.42578125" style="34" hidden="1" customWidth="1" outlineLevel="1"/>
    <col min="8" max="8" width="8.28515625" style="97" hidden="1" customWidth="1" outlineLevel="1"/>
    <col min="9" max="9" width="21.7109375" customWidth="1" collapsed="1"/>
    <col min="10" max="10" width="14.140625" style="34" customWidth="1"/>
    <col min="11" max="11" width="12.28515625" customWidth="1"/>
    <col min="12" max="12" width="11.42578125" style="49" customWidth="1"/>
    <col min="13" max="13" width="9.85546875" style="61" customWidth="1"/>
  </cols>
  <sheetData>
    <row r="1" spans="1:13" x14ac:dyDescent="0.25">
      <c r="A1" s="25" t="s">
        <v>21</v>
      </c>
    </row>
    <row r="2" spans="1:13" x14ac:dyDescent="0.25">
      <c r="A2" s="25" t="s">
        <v>114</v>
      </c>
    </row>
    <row r="3" spans="1:13" x14ac:dyDescent="0.25">
      <c r="A3" s="25" t="s">
        <v>115</v>
      </c>
      <c r="C3" s="106">
        <v>68.2</v>
      </c>
    </row>
    <row r="4" spans="1:13" s="34" customFormat="1" ht="45" x14ac:dyDescent="0.25">
      <c r="A4" s="65" t="s">
        <v>23</v>
      </c>
      <c r="B4" s="65" t="s">
        <v>24</v>
      </c>
      <c r="C4" s="66" t="s">
        <v>25</v>
      </c>
      <c r="D4" s="67" t="s">
        <v>75</v>
      </c>
      <c r="E4" s="68" t="s">
        <v>26</v>
      </c>
      <c r="F4" s="68" t="s">
        <v>95</v>
      </c>
      <c r="G4" s="84" t="s">
        <v>86</v>
      </c>
      <c r="H4" s="98" t="s">
        <v>94</v>
      </c>
      <c r="I4" s="69" t="s">
        <v>73</v>
      </c>
      <c r="J4" s="70" t="s">
        <v>72</v>
      </c>
      <c r="K4" s="72" t="s">
        <v>74</v>
      </c>
      <c r="L4" s="71" t="s">
        <v>111</v>
      </c>
      <c r="M4" s="81" t="s">
        <v>87</v>
      </c>
    </row>
    <row r="5" spans="1:13" x14ac:dyDescent="0.25">
      <c r="A5" s="25">
        <v>5</v>
      </c>
      <c r="B5" s="36">
        <v>45544</v>
      </c>
      <c r="C5" t="s">
        <v>99</v>
      </c>
      <c r="D5" t="s">
        <v>29</v>
      </c>
      <c r="E5" s="100">
        <v>37</v>
      </c>
      <c r="F5" s="30">
        <v>3</v>
      </c>
      <c r="G5" s="102">
        <f>Tableau1345[[#This Row],[Total HT]]+Tableau1345[[#This Row],[TVA]]</f>
        <v>40</v>
      </c>
      <c r="H5" s="89">
        <f>100/Tableau1345[[#This Row],[Total HT]]*Tableau1345[[#This Row],[TVA]]</f>
        <v>8.1081081081081088</v>
      </c>
      <c r="I5" t="s">
        <v>60</v>
      </c>
      <c r="J5" s="28">
        <f>Tableau1345[[#This Row],[Total TTC]]</f>
        <v>40</v>
      </c>
      <c r="K5" s="100">
        <f>Tableau1345[[#This Row],[Montant ]]-Tableau1345[[#This Row],[TVA2]]</f>
        <v>37</v>
      </c>
      <c r="L5" s="30">
        <v>3</v>
      </c>
      <c r="M5" s="63"/>
    </row>
    <row r="6" spans="1:13" x14ac:dyDescent="0.25">
      <c r="A6" s="25">
        <v>17</v>
      </c>
      <c r="B6" s="36">
        <v>45558</v>
      </c>
      <c r="C6" t="s">
        <v>99</v>
      </c>
      <c r="D6" t="s">
        <v>29</v>
      </c>
      <c r="E6" s="100">
        <v>9.25</v>
      </c>
      <c r="F6" s="30">
        <v>0.75</v>
      </c>
      <c r="G6" s="102">
        <f>Tableau1345[[#This Row],[Total HT]]+Tableau1345[[#This Row],[TVA]]</f>
        <v>10</v>
      </c>
      <c r="H6" s="89">
        <f>100/Tableau1345[[#This Row],[Total HT]]*Tableau1345[[#This Row],[TVA]]</f>
        <v>8.1081081081081088</v>
      </c>
      <c r="I6" t="s">
        <v>60</v>
      </c>
      <c r="J6" s="60">
        <f>Tableau1345[[#This Row],[Total TTC]]</f>
        <v>10</v>
      </c>
      <c r="K6" s="100">
        <f>Tableau1345[[#This Row],[Montant ]]-Tableau1345[[#This Row],[TVA2]]</f>
        <v>9.25</v>
      </c>
      <c r="L6" s="30">
        <v>0.75</v>
      </c>
      <c r="M6" s="63"/>
    </row>
    <row r="7" spans="1:13" x14ac:dyDescent="0.25">
      <c r="A7" s="25">
        <v>20</v>
      </c>
      <c r="B7" s="36">
        <v>45559</v>
      </c>
      <c r="C7" t="s">
        <v>106</v>
      </c>
      <c r="D7" t="s">
        <v>20</v>
      </c>
      <c r="E7" s="100">
        <v>18.2</v>
      </c>
      <c r="F7" s="30">
        <v>0</v>
      </c>
      <c r="G7" s="102">
        <f>Tableau1345[[#This Row],[Total HT]]+Tableau1345[[#This Row],[TVA]]</f>
        <v>18.2</v>
      </c>
      <c r="H7" s="89">
        <f>100/Tableau1345[[#This Row],[Total HT]]*Tableau1345[[#This Row],[TVA]]</f>
        <v>0</v>
      </c>
      <c r="I7" t="s">
        <v>11</v>
      </c>
      <c r="J7" s="60">
        <f>Tableau1345[[#This Row],[Total TTC]]</f>
        <v>18.2</v>
      </c>
      <c r="K7" s="100">
        <f>Tableau1345[[#This Row],[Montant ]]-Tableau1345[[#This Row],[TVA2]]</f>
        <v>18.2</v>
      </c>
      <c r="L7" s="30">
        <v>0</v>
      </c>
      <c r="M7" s="63"/>
    </row>
    <row r="8" spans="1:13" x14ac:dyDescent="0.25">
      <c r="A8" s="43"/>
      <c r="B8" s="43"/>
      <c r="C8" s="44"/>
      <c r="D8" s="44"/>
      <c r="E8" s="101">
        <f>SUBTOTAL(9,Tableau1345[Total HT])</f>
        <v>64.45</v>
      </c>
      <c r="F8" s="45">
        <f>SUBTOTAL(9,Tableau1345[TVA])</f>
        <v>3.75</v>
      </c>
      <c r="G8" s="45">
        <f>SUBTOTAL(9,Tableau1345[Total TTC])</f>
        <v>68.2</v>
      </c>
      <c r="H8" s="99"/>
      <c r="I8" s="45"/>
      <c r="J8" s="45">
        <f>SUBTOTAL(9,Tableau1345[[Montant ]])</f>
        <v>68.2</v>
      </c>
      <c r="K8" s="45">
        <f>SUBTOTAL(9,Tableau1345[Montant 
NET])</f>
        <v>64.45</v>
      </c>
      <c r="L8" s="45">
        <f>SUBTOTAL(9,Tableau1345[TVA2])</f>
        <v>3.75</v>
      </c>
      <c r="M8" s="45"/>
    </row>
    <row r="11" spans="1:13" x14ac:dyDescent="0.25">
      <c r="I11" s="25" t="s">
        <v>8</v>
      </c>
      <c r="J11" s="27">
        <f t="shared" ref="J11:J22" si="0">SUMIF($I$5:$I$7,I11,$J$5:$J$7)</f>
        <v>0</v>
      </c>
      <c r="K11" s="27">
        <f t="shared" ref="K11:K22" si="1">SUMIF($I$5:$I$7,I11,$K$5:$K$7)</f>
        <v>0</v>
      </c>
      <c r="L11" s="27">
        <f t="shared" ref="L11:L22" si="2">SUMIF($I$5:$I$7,I11,$L$5:$L$7)</f>
        <v>0</v>
      </c>
      <c r="M11" s="63" t="str">
        <f>IF(J11&gt;0,100/K11*L11,"")</f>
        <v/>
      </c>
    </row>
    <row r="12" spans="1:13" x14ac:dyDescent="0.25">
      <c r="D12" s="26"/>
      <c r="I12" t="s">
        <v>64</v>
      </c>
      <c r="J12" s="27">
        <f t="shared" si="0"/>
        <v>0</v>
      </c>
      <c r="K12" s="27">
        <f t="shared" si="1"/>
        <v>0</v>
      </c>
      <c r="L12" s="27">
        <f t="shared" si="2"/>
        <v>0</v>
      </c>
      <c r="M12" s="63" t="str">
        <f t="shared" ref="M12:M22" si="3">IF(J12&gt;0,100/K12*L12,"")</f>
        <v/>
      </c>
    </row>
    <row r="13" spans="1:13" x14ac:dyDescent="0.25">
      <c r="I13" t="s">
        <v>15</v>
      </c>
      <c r="J13" s="27">
        <f t="shared" si="0"/>
        <v>0</v>
      </c>
      <c r="K13" s="27">
        <f t="shared" si="1"/>
        <v>0</v>
      </c>
      <c r="L13" s="27">
        <f t="shared" si="2"/>
        <v>0</v>
      </c>
      <c r="M13" s="63" t="str">
        <f t="shared" si="3"/>
        <v/>
      </c>
    </row>
    <row r="14" spans="1:13" x14ac:dyDescent="0.25">
      <c r="I14" s="29" t="s">
        <v>91</v>
      </c>
      <c r="J14" s="27">
        <f t="shared" si="0"/>
        <v>0</v>
      </c>
      <c r="K14" s="27">
        <f t="shared" si="1"/>
        <v>0</v>
      </c>
      <c r="L14" s="27">
        <f t="shared" si="2"/>
        <v>0</v>
      </c>
      <c r="M14" s="63" t="str">
        <f t="shared" si="3"/>
        <v/>
      </c>
    </row>
    <row r="15" spans="1:13" x14ac:dyDescent="0.25">
      <c r="D15" s="26"/>
      <c r="I15" s="29" t="s">
        <v>6</v>
      </c>
      <c r="J15" s="27">
        <f t="shared" si="0"/>
        <v>0</v>
      </c>
      <c r="K15" s="27">
        <f t="shared" si="1"/>
        <v>0</v>
      </c>
      <c r="L15" s="27">
        <f t="shared" si="2"/>
        <v>0</v>
      </c>
      <c r="M15" s="63" t="str">
        <f t="shared" si="3"/>
        <v/>
      </c>
    </row>
    <row r="16" spans="1:13" x14ac:dyDescent="0.25">
      <c r="D16" s="26"/>
      <c r="I16" s="29" t="s">
        <v>11</v>
      </c>
      <c r="J16" s="27">
        <f t="shared" si="0"/>
        <v>18.2</v>
      </c>
      <c r="K16" s="27">
        <f t="shared" si="1"/>
        <v>18.2</v>
      </c>
      <c r="L16" s="27">
        <f t="shared" si="2"/>
        <v>0</v>
      </c>
      <c r="M16" s="63">
        <f t="shared" si="3"/>
        <v>0</v>
      </c>
    </row>
    <row r="17" spans="4:13" x14ac:dyDescent="0.25">
      <c r="D17" s="26"/>
      <c r="I17" s="29" t="s">
        <v>112</v>
      </c>
      <c r="J17" s="27">
        <f t="shared" si="0"/>
        <v>0</v>
      </c>
      <c r="K17" s="27">
        <f t="shared" si="1"/>
        <v>0</v>
      </c>
      <c r="L17" s="27">
        <f t="shared" si="2"/>
        <v>0</v>
      </c>
      <c r="M17" s="63" t="str">
        <f t="shared" si="3"/>
        <v/>
      </c>
    </row>
    <row r="18" spans="4:13" x14ac:dyDescent="0.25">
      <c r="D18" s="26"/>
      <c r="I18" s="29" t="s">
        <v>12</v>
      </c>
      <c r="J18" s="27">
        <f t="shared" si="0"/>
        <v>0</v>
      </c>
      <c r="K18" s="27">
        <f t="shared" si="1"/>
        <v>0</v>
      </c>
      <c r="L18" s="27">
        <f t="shared" si="2"/>
        <v>0</v>
      </c>
      <c r="M18" s="63" t="str">
        <f t="shared" si="3"/>
        <v/>
      </c>
    </row>
    <row r="19" spans="4:13" x14ac:dyDescent="0.25">
      <c r="D19" s="26"/>
      <c r="I19" s="29" t="s">
        <v>67</v>
      </c>
      <c r="J19" s="27">
        <f t="shared" si="0"/>
        <v>0</v>
      </c>
      <c r="K19" s="27">
        <f t="shared" si="1"/>
        <v>0</v>
      </c>
      <c r="L19" s="27">
        <f t="shared" si="2"/>
        <v>0</v>
      </c>
      <c r="M19" s="63" t="str">
        <f t="shared" si="3"/>
        <v/>
      </c>
    </row>
    <row r="20" spans="4:13" x14ac:dyDescent="0.25">
      <c r="D20" s="26"/>
      <c r="I20" s="29" t="s">
        <v>14</v>
      </c>
      <c r="J20" s="27">
        <f t="shared" si="0"/>
        <v>0</v>
      </c>
      <c r="K20" s="27">
        <f t="shared" si="1"/>
        <v>0</v>
      </c>
      <c r="L20" s="27">
        <f t="shared" si="2"/>
        <v>0</v>
      </c>
      <c r="M20" s="63" t="str">
        <f t="shared" si="3"/>
        <v/>
      </c>
    </row>
    <row r="21" spans="4:13" x14ac:dyDescent="0.25">
      <c r="D21" s="26"/>
      <c r="I21" s="25" t="s">
        <v>60</v>
      </c>
      <c r="J21" s="27">
        <f t="shared" si="0"/>
        <v>50</v>
      </c>
      <c r="K21" s="27">
        <f t="shared" si="1"/>
        <v>46.25</v>
      </c>
      <c r="L21" s="27">
        <f t="shared" si="2"/>
        <v>3.75</v>
      </c>
      <c r="M21" s="63">
        <f t="shared" si="3"/>
        <v>8.1081081081081088</v>
      </c>
    </row>
    <row r="22" spans="4:13" x14ac:dyDescent="0.25">
      <c r="I22" s="29" t="s">
        <v>88</v>
      </c>
      <c r="J22" s="27">
        <f t="shared" si="0"/>
        <v>0</v>
      </c>
      <c r="K22" s="27">
        <f t="shared" si="1"/>
        <v>0</v>
      </c>
      <c r="L22" s="27">
        <f t="shared" si="2"/>
        <v>0</v>
      </c>
      <c r="M22" s="63" t="str">
        <f t="shared" si="3"/>
        <v/>
      </c>
    </row>
    <row r="23" spans="4:13" x14ac:dyDescent="0.25">
      <c r="I23" s="29"/>
      <c r="J23" s="27"/>
      <c r="K23" s="27"/>
      <c r="L23" s="27"/>
      <c r="M23" s="63"/>
    </row>
    <row r="24" spans="4:13" x14ac:dyDescent="0.25">
      <c r="I24" s="78" t="s">
        <v>93</v>
      </c>
      <c r="J24" s="27">
        <f>SUMIF($I$5:$I$7,I24,$J$5:$J$7)</f>
        <v>0</v>
      </c>
      <c r="K24" s="27">
        <f>SUMIF($I$5:$I$7,I24,$K$5:$K$7)</f>
        <v>0</v>
      </c>
      <c r="L24" s="27">
        <f>SUMIF($I$5:$I$7,I24,$L$5:$L$7)</f>
        <v>0</v>
      </c>
      <c r="M24" s="80"/>
    </row>
    <row r="25" spans="4:13" x14ac:dyDescent="0.25">
      <c r="D25" s="32"/>
      <c r="J25" s="27"/>
      <c r="K25" s="27"/>
      <c r="L25" s="27"/>
    </row>
    <row r="26" spans="4:13" x14ac:dyDescent="0.25">
      <c r="I26" s="31" t="s">
        <v>7</v>
      </c>
      <c r="J26" s="33">
        <f>SUM(J11:J24)</f>
        <v>68.2</v>
      </c>
      <c r="K26" s="33">
        <f>SUM(K11:K24)</f>
        <v>64.45</v>
      </c>
      <c r="L26" s="33">
        <f>SUM(L11:L24)</f>
        <v>3.75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81C98-1069-43D4-A183-5F8507254F5F}">
  <sheetPr>
    <pageSetUpPr fitToPage="1"/>
  </sheetPr>
  <dimension ref="A1:M32"/>
  <sheetViews>
    <sheetView workbookViewId="0">
      <pane xSplit="3" ySplit="5" topLeftCell="I6" activePane="bottomRight" state="frozen"/>
      <selection pane="topRight" activeCell="D1" sqref="D1"/>
      <selection pane="bottomLeft" activeCell="A6" sqref="A6"/>
      <selection pane="bottomRight" activeCell="K7" sqref="K7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34.7109375" customWidth="1"/>
    <col min="4" max="4" width="9.85546875" hidden="1" customWidth="1" outlineLevel="1"/>
    <col min="5" max="5" width="11" style="82" hidden="1" customWidth="1" outlineLevel="1"/>
    <col min="6" max="6" width="10" hidden="1" customWidth="1" outlineLevel="1"/>
    <col min="7" max="7" width="12.42578125" style="34" hidden="1" customWidth="1" outlineLevel="1"/>
    <col min="8" max="8" width="8.28515625" style="97" hidden="1" customWidth="1" outlineLevel="1"/>
    <col min="9" max="9" width="21.7109375" customWidth="1" collapsed="1"/>
    <col min="10" max="10" width="14.140625" style="34" customWidth="1"/>
    <col min="11" max="11" width="12.28515625" customWidth="1"/>
    <col min="12" max="12" width="11.42578125" style="49" customWidth="1"/>
    <col min="13" max="13" width="9.85546875" style="61" hidden="1" customWidth="1"/>
  </cols>
  <sheetData>
    <row r="1" spans="1:13" x14ac:dyDescent="0.25">
      <c r="A1" s="25" t="s">
        <v>21</v>
      </c>
    </row>
    <row r="2" spans="1:13" x14ac:dyDescent="0.25">
      <c r="A2" s="25" t="s">
        <v>114</v>
      </c>
    </row>
    <row r="3" spans="1:13" x14ac:dyDescent="0.25">
      <c r="A3" s="25" t="s">
        <v>115</v>
      </c>
      <c r="C3" s="106">
        <v>483.6</v>
      </c>
    </row>
    <row r="4" spans="1:13" x14ac:dyDescent="0.25">
      <c r="C4" s="106"/>
    </row>
    <row r="5" spans="1:13" s="34" customFormat="1" ht="36.75" x14ac:dyDescent="0.25">
      <c r="A5" s="65" t="s">
        <v>23</v>
      </c>
      <c r="B5" s="65" t="s">
        <v>24</v>
      </c>
      <c r="C5" s="66" t="s">
        <v>25</v>
      </c>
      <c r="D5" s="67" t="s">
        <v>75</v>
      </c>
      <c r="E5" s="68" t="s">
        <v>26</v>
      </c>
      <c r="F5" s="68" t="s">
        <v>95</v>
      </c>
      <c r="G5" s="84" t="s">
        <v>86</v>
      </c>
      <c r="H5" s="98" t="s">
        <v>94</v>
      </c>
      <c r="I5" s="69" t="s">
        <v>73</v>
      </c>
      <c r="J5" s="72" t="s">
        <v>117</v>
      </c>
      <c r="K5" s="72" t="s">
        <v>74</v>
      </c>
      <c r="L5" s="71" t="s">
        <v>116</v>
      </c>
      <c r="M5" s="81" t="s">
        <v>59</v>
      </c>
    </row>
    <row r="6" spans="1:13" x14ac:dyDescent="0.25">
      <c r="A6" s="25">
        <v>2</v>
      </c>
      <c r="B6" s="36">
        <v>45538</v>
      </c>
      <c r="C6" t="s">
        <v>96</v>
      </c>
      <c r="D6" t="s">
        <v>20</v>
      </c>
      <c r="E6" s="95">
        <v>14.03</v>
      </c>
      <c r="F6" s="42">
        <v>1.18</v>
      </c>
      <c r="G6" s="102">
        <f>Tableau13467[[#This Row],[Total HT]]+Tableau13467[[#This Row],[TVA]]</f>
        <v>15.209999999999999</v>
      </c>
      <c r="H6" s="87">
        <f>100/Tableau13467[[#This Row],[Total HT]]*Tableau13467[[#This Row],[TVA]]</f>
        <v>8.4105488239486821</v>
      </c>
      <c r="I6" t="s">
        <v>11</v>
      </c>
      <c r="J6" s="28">
        <f>Tableau13467[[#This Row],[Total TTC]]</f>
        <v>15.209999999999999</v>
      </c>
      <c r="K6" s="100">
        <f>Tableau13467[[#This Row],[Montant 
CHF]]-Tableau13467[[#This Row],[TVA
CHF]]</f>
        <v>14.819999999999999</v>
      </c>
      <c r="L6" s="58">
        <v>0.39</v>
      </c>
      <c r="M6" s="62"/>
    </row>
    <row r="7" spans="1:13" x14ac:dyDescent="0.25">
      <c r="A7" s="25">
        <v>1</v>
      </c>
      <c r="B7" s="36">
        <v>45538</v>
      </c>
      <c r="C7" t="s">
        <v>104</v>
      </c>
      <c r="D7" t="s">
        <v>19</v>
      </c>
      <c r="E7" s="100">
        <v>2.19</v>
      </c>
      <c r="F7" s="30">
        <v>0</v>
      </c>
      <c r="G7" s="102">
        <f>Tableau13467[[#This Row],[Total HT]]+Tableau13467[[#This Row],[TVA]]</f>
        <v>2.19</v>
      </c>
      <c r="H7" s="88">
        <f>100/Tableau13467[[#This Row],[Total HT]]*Tableau13467[[#This Row],[TVA]]</f>
        <v>0</v>
      </c>
      <c r="I7" t="s">
        <v>15</v>
      </c>
      <c r="J7" s="28">
        <f>Tableau13467[[#This Row],[Total TTC]]</f>
        <v>2.19</v>
      </c>
      <c r="K7" s="100">
        <f>Tableau13467[[#This Row],[Montant 
CHF]]-Tableau13467[[#This Row],[TVA
CHF]]</f>
        <v>2.19</v>
      </c>
      <c r="L7" s="52">
        <v>0</v>
      </c>
      <c r="M7" s="63"/>
    </row>
    <row r="8" spans="1:13" x14ac:dyDescent="0.25">
      <c r="A8" s="25">
        <v>3</v>
      </c>
      <c r="B8" s="36">
        <v>45540</v>
      </c>
      <c r="C8" t="s">
        <v>97</v>
      </c>
      <c r="D8" t="s">
        <v>29</v>
      </c>
      <c r="E8" s="100">
        <v>240</v>
      </c>
      <c r="F8" s="30">
        <v>19.440000000000001</v>
      </c>
      <c r="G8" s="102">
        <f>Tableau13467[[#This Row],[Total HT]]+Tableau13467[[#This Row],[TVA]]</f>
        <v>259.44</v>
      </c>
      <c r="H8" s="89">
        <f>100/Tableau13467[[#This Row],[Total HT]]*Tableau13467[[#This Row],[TVA]]</f>
        <v>8.1000000000000014</v>
      </c>
      <c r="I8" t="s">
        <v>60</v>
      </c>
      <c r="J8" s="59">
        <f>Tableau13467[[#This Row],[Total TTC]]</f>
        <v>259.44</v>
      </c>
      <c r="K8" s="100">
        <f>Tableau13467[[#This Row],[Montant 
CHF]]-Tableau13467[[#This Row],[TVA
CHF]]</f>
        <v>240</v>
      </c>
      <c r="L8" s="30">
        <v>19.440000000000001</v>
      </c>
      <c r="M8" s="63"/>
    </row>
    <row r="9" spans="1:13" x14ac:dyDescent="0.25">
      <c r="A9" s="25">
        <v>4</v>
      </c>
      <c r="B9" s="36">
        <v>45542</v>
      </c>
      <c r="C9" t="s">
        <v>98</v>
      </c>
      <c r="D9" t="s">
        <v>20</v>
      </c>
      <c r="E9" s="100">
        <v>128.31</v>
      </c>
      <c r="F9" s="30">
        <v>10.39</v>
      </c>
      <c r="G9" s="102">
        <f>Tableau13467[[#This Row],[Total HT]]+Tableau13467[[#This Row],[TVA]]</f>
        <v>138.69999999999999</v>
      </c>
      <c r="H9" s="89">
        <f>100/Tableau13467[[#This Row],[Total HT]]*Tableau13467[[#This Row],[TVA]]</f>
        <v>8.0975761826825661</v>
      </c>
      <c r="I9" t="s">
        <v>11</v>
      </c>
      <c r="J9" s="28">
        <f>Tableau13467[[#This Row],[Total TTC]]</f>
        <v>138.69999999999999</v>
      </c>
      <c r="K9" s="100">
        <f>Tableau13467[[#This Row],[Montant 
CHF]]-Tableau13467[[#This Row],[TVA
CHF]]</f>
        <v>128.31</v>
      </c>
      <c r="L9" s="30">
        <v>10.39</v>
      </c>
      <c r="M9" s="63"/>
    </row>
    <row r="10" spans="1:13" x14ac:dyDescent="0.25">
      <c r="A10" s="25">
        <v>6</v>
      </c>
      <c r="B10" s="36">
        <v>45546</v>
      </c>
      <c r="C10" t="s">
        <v>100</v>
      </c>
      <c r="D10" t="s">
        <v>19</v>
      </c>
      <c r="E10" s="100">
        <v>0.5</v>
      </c>
      <c r="F10" s="30">
        <v>0</v>
      </c>
      <c r="G10" s="102">
        <f>Tableau13467[[#This Row],[Total HT]]+Tableau13467[[#This Row],[TVA]]</f>
        <v>0.5</v>
      </c>
      <c r="H10" s="89">
        <f>100/Tableau13467[[#This Row],[Total HT]]*Tableau13467[[#This Row],[TVA]]</f>
        <v>0</v>
      </c>
      <c r="I10" t="s">
        <v>15</v>
      </c>
      <c r="J10" s="28">
        <f>Tableau13467[[#This Row],[Total TTC]]</f>
        <v>0.5</v>
      </c>
      <c r="K10" s="103">
        <f>Tableau13467[[#This Row],[Montant 
CHF]]-Tableau13467[[#This Row],[TVA
CHF]]</f>
        <v>0.5</v>
      </c>
      <c r="L10" s="30">
        <v>0</v>
      </c>
      <c r="M10" s="63"/>
    </row>
    <row r="11" spans="1:13" x14ac:dyDescent="0.25">
      <c r="A11" s="25">
        <v>7</v>
      </c>
      <c r="B11" s="36">
        <v>45547</v>
      </c>
      <c r="C11" t="s">
        <v>51</v>
      </c>
      <c r="D11" t="s">
        <v>20</v>
      </c>
      <c r="E11" s="100">
        <v>40.700000000000003</v>
      </c>
      <c r="F11" s="30">
        <v>3.3</v>
      </c>
      <c r="G11" s="102">
        <f>Tableau13467[[#This Row],[Total HT]]+Tableau13467[[#This Row],[TVA]]</f>
        <v>44</v>
      </c>
      <c r="H11" s="89">
        <f>100/Tableau13467[[#This Row],[Total HT]]*Tableau13467[[#This Row],[TVA]]</f>
        <v>8.108108108108107</v>
      </c>
      <c r="I11" t="s">
        <v>11</v>
      </c>
      <c r="J11" s="28">
        <f>Tableau13467[[#This Row],[Total TTC]]</f>
        <v>44</v>
      </c>
      <c r="K11" s="103">
        <f>Tableau13467[[#This Row],[Montant 
CHF]]-Tableau13467[[#This Row],[TVA
CHF]]</f>
        <v>40.700000000000003</v>
      </c>
      <c r="L11" s="30">
        <v>3.3</v>
      </c>
      <c r="M11" s="63"/>
    </row>
    <row r="12" spans="1:13" s="93" customFormat="1" x14ac:dyDescent="0.25">
      <c r="A12" s="25">
        <v>8</v>
      </c>
      <c r="B12" s="36">
        <v>45547</v>
      </c>
      <c r="C12" t="s">
        <v>51</v>
      </c>
      <c r="D12" t="s">
        <v>20</v>
      </c>
      <c r="E12" s="100">
        <v>3.7</v>
      </c>
      <c r="F12" s="30">
        <v>0.3</v>
      </c>
      <c r="G12" s="102">
        <f>Tableau13467[[#This Row],[Total HT]]+Tableau13467[[#This Row],[TVA]]</f>
        <v>4</v>
      </c>
      <c r="H12" s="89">
        <f>100/Tableau13467[[#This Row],[Total HT]]*Tableau13467[[#This Row],[TVA]]</f>
        <v>8.108108108108107</v>
      </c>
      <c r="I12" t="s">
        <v>11</v>
      </c>
      <c r="J12" s="28">
        <f>Tableau13467[[#This Row],[Total TTC]]</f>
        <v>4</v>
      </c>
      <c r="K12" s="103">
        <f>Tableau13467[[#This Row],[Montant 
CHF]]-Tableau13467[[#This Row],[TVA
CHF]]</f>
        <v>3.7</v>
      </c>
      <c r="L12" s="30">
        <v>0.3</v>
      </c>
      <c r="M12" s="63"/>
    </row>
    <row r="13" spans="1:13" s="93" customFormat="1" x14ac:dyDescent="0.25">
      <c r="A13" s="25">
        <v>10</v>
      </c>
      <c r="B13" s="36">
        <v>45548</v>
      </c>
      <c r="C13" t="s">
        <v>52</v>
      </c>
      <c r="D13" t="s">
        <v>19</v>
      </c>
      <c r="E13" s="100">
        <v>18.09</v>
      </c>
      <c r="F13" s="30">
        <v>1.46</v>
      </c>
      <c r="G13" s="102">
        <f>Tableau13467[[#This Row],[Total HT]]+Tableau13467[[#This Row],[TVA]]</f>
        <v>19.55</v>
      </c>
      <c r="H13" s="89">
        <f>100/Tableau13467[[#This Row],[Total HT]]*Tableau13467[[#This Row],[TVA]]</f>
        <v>8.0707573244886675</v>
      </c>
      <c r="I13" t="s">
        <v>64</v>
      </c>
      <c r="J13" s="28">
        <f>Tableau13467[[#This Row],[Total TTC]]</f>
        <v>19.55</v>
      </c>
      <c r="K13" s="103">
        <f>Tableau13467[[#This Row],[Montant 
CHF]]-Tableau13467[[#This Row],[TVA
CHF]]</f>
        <v>18.09</v>
      </c>
      <c r="L13" s="30">
        <v>1.46</v>
      </c>
      <c r="M13" s="63"/>
    </row>
    <row r="14" spans="1:13" x14ac:dyDescent="0.25">
      <c r="A14" s="43"/>
      <c r="B14" s="43"/>
      <c r="C14" s="44"/>
      <c r="D14" s="44"/>
      <c r="E14" s="101">
        <f>SUBTOTAL(9,Tableau13467[Total HT])</f>
        <v>447.52</v>
      </c>
      <c r="F14" s="45">
        <f>SUBTOTAL(9,Tableau13467[TVA])</f>
        <v>36.07</v>
      </c>
      <c r="G14" s="45">
        <f>SUBTOTAL(9,Tableau13467[Total TTC])</f>
        <v>483.59</v>
      </c>
      <c r="H14" s="99"/>
      <c r="I14" s="45"/>
      <c r="J14" s="45">
        <f>SUBTOTAL(9,Tableau13467[Montant 
CHF])</f>
        <v>483.59</v>
      </c>
      <c r="K14" s="45">
        <f>SUBTOTAL(9,Tableau13467[Montant 
NET])</f>
        <v>448.30999999999995</v>
      </c>
      <c r="L14" s="45">
        <f>SUBTOTAL(9,Tableau13467[TVA
CHF])</f>
        <v>35.28</v>
      </c>
      <c r="M14" s="45"/>
    </row>
    <row r="17" spans="4:13" x14ac:dyDescent="0.25">
      <c r="I17" s="25" t="s">
        <v>8</v>
      </c>
      <c r="J17" s="27">
        <f t="shared" ref="J17:J28" si="0">SUMIF($I$6:$I$13,I17,$J$6:$J$13)</f>
        <v>0</v>
      </c>
      <c r="K17" s="27">
        <f t="shared" ref="K17:K28" si="1">SUMIF($I$6:$I$13,I17,$K$6:$K$13)</f>
        <v>0</v>
      </c>
      <c r="L17" s="27">
        <f t="shared" ref="L17:L28" si="2">SUMIF($I$6:$I$13,I17,$L$6:$L$13)</f>
        <v>0</v>
      </c>
      <c r="M17" s="63" t="str">
        <f>IF(J17&gt;0,100/K17*L17,"")</f>
        <v/>
      </c>
    </row>
    <row r="18" spans="4:13" x14ac:dyDescent="0.25">
      <c r="D18" s="26"/>
      <c r="I18" t="s">
        <v>64</v>
      </c>
      <c r="J18" s="27">
        <f t="shared" si="0"/>
        <v>19.55</v>
      </c>
      <c r="K18" s="27">
        <f t="shared" si="1"/>
        <v>18.09</v>
      </c>
      <c r="L18" s="27">
        <f t="shared" si="2"/>
        <v>1.46</v>
      </c>
      <c r="M18" s="63">
        <f t="shared" ref="M18:M28" si="3">IF(J18&gt;0,100/K18*L18,"")</f>
        <v>8.0707573244886675</v>
      </c>
    </row>
    <row r="19" spans="4:13" x14ac:dyDescent="0.25">
      <c r="I19" t="s">
        <v>15</v>
      </c>
      <c r="J19" s="27">
        <f t="shared" si="0"/>
        <v>2.69</v>
      </c>
      <c r="K19" s="27">
        <f t="shared" si="1"/>
        <v>2.69</v>
      </c>
      <c r="L19" s="27">
        <f t="shared" si="2"/>
        <v>0</v>
      </c>
      <c r="M19" s="63">
        <f t="shared" si="3"/>
        <v>0</v>
      </c>
    </row>
    <row r="20" spans="4:13" x14ac:dyDescent="0.25">
      <c r="I20" s="29" t="s">
        <v>91</v>
      </c>
      <c r="J20" s="27">
        <f t="shared" si="0"/>
        <v>0</v>
      </c>
      <c r="K20" s="27">
        <f t="shared" si="1"/>
        <v>0</v>
      </c>
      <c r="L20" s="27">
        <f t="shared" si="2"/>
        <v>0</v>
      </c>
      <c r="M20" s="63" t="str">
        <f t="shared" si="3"/>
        <v/>
      </c>
    </row>
    <row r="21" spans="4:13" x14ac:dyDescent="0.25">
      <c r="D21" s="26"/>
      <c r="I21" s="29" t="s">
        <v>6</v>
      </c>
      <c r="J21" s="27">
        <f t="shared" si="0"/>
        <v>0</v>
      </c>
      <c r="K21" s="27">
        <f t="shared" si="1"/>
        <v>0</v>
      </c>
      <c r="L21" s="27">
        <f t="shared" si="2"/>
        <v>0</v>
      </c>
      <c r="M21" s="63" t="str">
        <f t="shared" si="3"/>
        <v/>
      </c>
    </row>
    <row r="22" spans="4:13" x14ac:dyDescent="0.25">
      <c r="D22" s="26"/>
      <c r="I22" s="29" t="s">
        <v>11</v>
      </c>
      <c r="J22" s="27">
        <f t="shared" si="0"/>
        <v>201.91</v>
      </c>
      <c r="K22" s="27">
        <f t="shared" si="1"/>
        <v>187.52999999999997</v>
      </c>
      <c r="L22" s="27">
        <f t="shared" si="2"/>
        <v>14.380000000000003</v>
      </c>
      <c r="M22" s="63">
        <f t="shared" si="3"/>
        <v>7.6681064363035274</v>
      </c>
    </row>
    <row r="23" spans="4:13" x14ac:dyDescent="0.25">
      <c r="D23" s="26"/>
      <c r="I23" s="29" t="s">
        <v>112</v>
      </c>
      <c r="J23" s="27">
        <f t="shared" si="0"/>
        <v>0</v>
      </c>
      <c r="K23" s="27">
        <f t="shared" si="1"/>
        <v>0</v>
      </c>
      <c r="L23" s="27">
        <f t="shared" si="2"/>
        <v>0</v>
      </c>
      <c r="M23" s="63" t="str">
        <f t="shared" si="3"/>
        <v/>
      </c>
    </row>
    <row r="24" spans="4:13" x14ac:dyDescent="0.25">
      <c r="D24" s="26"/>
      <c r="I24" s="29" t="s">
        <v>12</v>
      </c>
      <c r="J24" s="27">
        <f t="shared" si="0"/>
        <v>0</v>
      </c>
      <c r="K24" s="27">
        <f t="shared" si="1"/>
        <v>0</v>
      </c>
      <c r="L24" s="27">
        <f t="shared" si="2"/>
        <v>0</v>
      </c>
      <c r="M24" s="63" t="str">
        <f t="shared" si="3"/>
        <v/>
      </c>
    </row>
    <row r="25" spans="4:13" x14ac:dyDescent="0.25">
      <c r="D25" s="26"/>
      <c r="I25" s="29" t="s">
        <v>67</v>
      </c>
      <c r="J25" s="27">
        <f t="shared" si="0"/>
        <v>0</v>
      </c>
      <c r="K25" s="27">
        <f t="shared" si="1"/>
        <v>0</v>
      </c>
      <c r="L25" s="27">
        <f t="shared" si="2"/>
        <v>0</v>
      </c>
      <c r="M25" s="63" t="str">
        <f t="shared" si="3"/>
        <v/>
      </c>
    </row>
    <row r="26" spans="4:13" x14ac:dyDescent="0.25">
      <c r="D26" s="26"/>
      <c r="I26" s="29" t="s">
        <v>14</v>
      </c>
      <c r="J26" s="27">
        <f t="shared" si="0"/>
        <v>0</v>
      </c>
      <c r="K26" s="27">
        <f t="shared" si="1"/>
        <v>0</v>
      </c>
      <c r="L26" s="27">
        <f t="shared" si="2"/>
        <v>0</v>
      </c>
      <c r="M26" s="63" t="str">
        <f t="shared" si="3"/>
        <v/>
      </c>
    </row>
    <row r="27" spans="4:13" x14ac:dyDescent="0.25">
      <c r="D27" s="26"/>
      <c r="I27" s="25" t="s">
        <v>60</v>
      </c>
      <c r="J27" s="27">
        <f t="shared" si="0"/>
        <v>259.44</v>
      </c>
      <c r="K27" s="27">
        <f t="shared" si="1"/>
        <v>240</v>
      </c>
      <c r="L27" s="27">
        <f t="shared" si="2"/>
        <v>19.440000000000001</v>
      </c>
      <c r="M27" s="63">
        <f t="shared" si="3"/>
        <v>8.1000000000000014</v>
      </c>
    </row>
    <row r="28" spans="4:13" x14ac:dyDescent="0.25">
      <c r="I28" s="29" t="s">
        <v>88</v>
      </c>
      <c r="J28" s="27">
        <f t="shared" si="0"/>
        <v>0</v>
      </c>
      <c r="K28" s="27">
        <f t="shared" si="1"/>
        <v>0</v>
      </c>
      <c r="L28" s="27">
        <f t="shared" si="2"/>
        <v>0</v>
      </c>
      <c r="M28" s="63" t="str">
        <f t="shared" si="3"/>
        <v/>
      </c>
    </row>
    <row r="29" spans="4:13" x14ac:dyDescent="0.25">
      <c r="I29" s="29"/>
      <c r="J29" s="27"/>
      <c r="K29" s="27"/>
      <c r="L29" s="27"/>
      <c r="M29" s="63"/>
    </row>
    <row r="30" spans="4:13" x14ac:dyDescent="0.25">
      <c r="I30" s="78" t="s">
        <v>93</v>
      </c>
      <c r="J30" s="27">
        <v>0.01</v>
      </c>
      <c r="K30" s="27">
        <v>0.01</v>
      </c>
      <c r="L30" s="27">
        <f>SUMIF($I$6:$I$13,I30,$L$6:$L$13)</f>
        <v>0</v>
      </c>
      <c r="M30" s="80"/>
    </row>
    <row r="31" spans="4:13" x14ac:dyDescent="0.25">
      <c r="D31" s="32"/>
      <c r="J31" s="27"/>
      <c r="K31" s="27"/>
      <c r="L31" s="27"/>
    </row>
    <row r="32" spans="4:13" x14ac:dyDescent="0.25">
      <c r="I32" s="31" t="s">
        <v>7</v>
      </c>
      <c r="J32" s="33">
        <f>SUM(J17:J30)</f>
        <v>483.6</v>
      </c>
      <c r="K32" s="33">
        <f>SUM(K17:K30)</f>
        <v>448.31999999999994</v>
      </c>
      <c r="L32" s="33">
        <f>SUM(L17:L30)</f>
        <v>35.28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9F65-590E-40E1-A589-B93C3C64CC0F}">
  <sheetPr>
    <pageSetUpPr fitToPage="1"/>
  </sheetPr>
  <dimension ref="A1:P69"/>
  <sheetViews>
    <sheetView tabSelected="1" workbookViewId="0">
      <pane xSplit="3" ySplit="8" topLeftCell="D42" activePane="bottomRight" state="frozen"/>
      <selection pane="topRight" activeCell="D1" sqref="D1"/>
      <selection pane="bottomLeft" activeCell="A6" sqref="A6"/>
      <selection pane="bottomRight" activeCell="O53" sqref="O53"/>
    </sheetView>
  </sheetViews>
  <sheetFormatPr baseColWidth="10" defaultRowHeight="15" outlineLevelCol="1" x14ac:dyDescent="0.25"/>
  <cols>
    <col min="1" max="1" width="3.85546875" style="25" customWidth="1"/>
    <col min="2" max="2" width="12.42578125" style="25" customWidth="1"/>
    <col min="3" max="3" width="41.85546875" customWidth="1"/>
    <col min="4" max="4" width="15" customWidth="1" outlineLevel="1"/>
    <col min="5" max="5" width="11" style="82" customWidth="1" outlineLevel="1"/>
    <col min="6" max="6" width="7.5703125" style="75" customWidth="1" outlineLevel="1"/>
    <col min="7" max="7" width="10" customWidth="1" outlineLevel="1"/>
    <col min="8" max="8" width="12.42578125" style="129" customWidth="1" outlineLevel="1"/>
    <col min="9" max="9" width="8.28515625" style="97" customWidth="1" outlineLevel="1"/>
    <col min="10" max="10" width="21.7109375" style="93" customWidth="1"/>
    <col min="11" max="11" width="14.140625" style="34" customWidth="1"/>
    <col min="12" max="12" width="12.28515625" customWidth="1"/>
    <col min="13" max="13" width="11.42578125" style="49" customWidth="1"/>
    <col min="14" max="14" width="5.85546875" style="61" bestFit="1" customWidth="1"/>
    <col min="16" max="16" width="11.42578125" style="75"/>
  </cols>
  <sheetData>
    <row r="1" spans="1:16" x14ac:dyDescent="0.25">
      <c r="A1" s="25" t="s">
        <v>21</v>
      </c>
    </row>
    <row r="2" spans="1:16" s="34" customFormat="1" x14ac:dyDescent="0.25">
      <c r="A2" s="35" t="s">
        <v>164</v>
      </c>
      <c r="B2" s="35"/>
      <c r="F2" s="148"/>
      <c r="H2" s="129"/>
      <c r="I2" s="150"/>
      <c r="J2" s="129"/>
      <c r="M2" s="142"/>
      <c r="N2" s="151"/>
      <c r="P2" s="148"/>
    </row>
    <row r="3" spans="1:16" x14ac:dyDescent="0.25">
      <c r="A3" s="25" t="s">
        <v>123</v>
      </c>
      <c r="C3" s="106">
        <v>1968.05</v>
      </c>
    </row>
    <row r="4" spans="1:16" x14ac:dyDescent="0.25">
      <c r="A4" s="25" t="s">
        <v>165</v>
      </c>
      <c r="C4" s="106">
        <v>1.59</v>
      </c>
    </row>
    <row r="5" spans="1:16" x14ac:dyDescent="0.25">
      <c r="A5" s="25" t="s">
        <v>115</v>
      </c>
      <c r="C5" s="106">
        <f>2.5+10.67</f>
        <v>13.17</v>
      </c>
    </row>
    <row r="6" spans="1:16" x14ac:dyDescent="0.25">
      <c r="A6" s="25" t="s">
        <v>159</v>
      </c>
      <c r="C6" s="106">
        <v>507.32</v>
      </c>
    </row>
    <row r="7" spans="1:16" x14ac:dyDescent="0.25">
      <c r="C7" s="106"/>
    </row>
    <row r="8" spans="1:16" s="34" customFormat="1" ht="36.75" x14ac:dyDescent="0.25">
      <c r="A8" s="65" t="s">
        <v>23</v>
      </c>
      <c r="B8" s="65" t="s">
        <v>24</v>
      </c>
      <c r="C8" s="66" t="s">
        <v>25</v>
      </c>
      <c r="D8" s="67" t="s">
        <v>75</v>
      </c>
      <c r="E8" s="68" t="s">
        <v>26</v>
      </c>
      <c r="F8" s="123" t="s">
        <v>153</v>
      </c>
      <c r="G8" s="68" t="s">
        <v>95</v>
      </c>
      <c r="H8" s="130" t="s">
        <v>86</v>
      </c>
      <c r="I8" s="98" t="s">
        <v>94</v>
      </c>
      <c r="J8" s="133" t="s">
        <v>73</v>
      </c>
      <c r="K8" s="72" t="s">
        <v>161</v>
      </c>
      <c r="L8" s="72" t="s">
        <v>162</v>
      </c>
      <c r="M8" s="143" t="s">
        <v>116</v>
      </c>
      <c r="N8" s="81" t="s">
        <v>59</v>
      </c>
      <c r="O8" s="107" t="s">
        <v>160</v>
      </c>
      <c r="P8" s="149" t="s">
        <v>163</v>
      </c>
    </row>
    <row r="9" spans="1:16" s="34" customFormat="1" x14ac:dyDescent="0.25">
      <c r="A9" s="111"/>
      <c r="B9" s="118">
        <v>45566</v>
      </c>
      <c r="C9" s="120" t="s">
        <v>124</v>
      </c>
      <c r="D9" s="121" t="s">
        <v>29</v>
      </c>
      <c r="E9" s="115">
        <v>18.41</v>
      </c>
      <c r="F9" s="124"/>
      <c r="G9" s="116">
        <f>Tableau134678[[#This Row],[Total TTC]]-Tableau134678[[#This Row],[Total HT]]</f>
        <v>1.4899999999999984</v>
      </c>
      <c r="H9" s="131">
        <v>19.899999999999999</v>
      </c>
      <c r="I9" s="136">
        <f>Tableau134678[[#This Row],[Total TTC]]/100*Tableau134678[[#This Row],[TVA]]</f>
        <v>0.29650999999999966</v>
      </c>
      <c r="J9" s="131" t="s">
        <v>159</v>
      </c>
      <c r="K9" s="112">
        <f>Tableau134678[[#This Row],[Total TTC]]</f>
        <v>19.899999999999999</v>
      </c>
      <c r="L9" s="113">
        <f>Tableau134678[[#This Row],[Total HT]]</f>
        <v>18.41</v>
      </c>
      <c r="M9" s="144">
        <f>Tableau134678[[#This Row],[TVA]]</f>
        <v>1.4899999999999984</v>
      </c>
      <c r="N9" s="114"/>
      <c r="O9" s="28"/>
      <c r="P9" s="58"/>
    </row>
    <row r="10" spans="1:16" s="34" customFormat="1" x14ac:dyDescent="0.25">
      <c r="A10" s="111"/>
      <c r="B10" s="118">
        <v>45566</v>
      </c>
      <c r="C10" s="120" t="s">
        <v>124</v>
      </c>
      <c r="D10" s="121" t="s">
        <v>29</v>
      </c>
      <c r="E10" s="115">
        <v>20.260000000000002</v>
      </c>
      <c r="F10" s="124"/>
      <c r="G10" s="116">
        <f>Tableau134678[[#This Row],[Total TTC]]-Tableau134678[[#This Row],[Total HT]]</f>
        <v>1.639999999999997</v>
      </c>
      <c r="H10" s="131">
        <v>21.9</v>
      </c>
      <c r="I10" s="136">
        <f>Tableau134678[[#This Row],[Total TTC]]/100*Tableau134678[[#This Row],[TVA]]</f>
        <v>0.35915999999999931</v>
      </c>
      <c r="J10" s="131" t="s">
        <v>159</v>
      </c>
      <c r="K10" s="112">
        <f>Tableau134678[[#This Row],[Total TTC]]</f>
        <v>21.9</v>
      </c>
      <c r="L10" s="113">
        <f>Tableau134678[[#This Row],[Total HT]]</f>
        <v>20.260000000000002</v>
      </c>
      <c r="M10" s="144">
        <f>Tableau134678[[#This Row],[TVA]]</f>
        <v>1.639999999999997</v>
      </c>
      <c r="N10" s="114"/>
      <c r="O10" s="28"/>
      <c r="P10" s="58"/>
    </row>
    <row r="11" spans="1:16" s="34" customFormat="1" x14ac:dyDescent="0.25">
      <c r="A11" s="111"/>
      <c r="B11" s="118">
        <v>45566</v>
      </c>
      <c r="C11" s="120" t="s">
        <v>125</v>
      </c>
      <c r="D11" s="121" t="s">
        <v>20</v>
      </c>
      <c r="E11" s="115">
        <v>51.8</v>
      </c>
      <c r="F11" s="124"/>
      <c r="G11" s="116">
        <f>Tableau134678[[#This Row],[Total TTC]]-Tableau134678[[#This Row],[Total HT]]</f>
        <v>4.2000000000000028</v>
      </c>
      <c r="H11" s="131">
        <v>56</v>
      </c>
      <c r="I11" s="136">
        <f>Tableau134678[[#This Row],[Total TTC]]/100*Tableau134678[[#This Row],[TVA]]</f>
        <v>2.3520000000000016</v>
      </c>
      <c r="J11" s="131" t="s">
        <v>159</v>
      </c>
      <c r="K11" s="112">
        <f>Tableau134678[[#This Row],[Total TTC]]</f>
        <v>56</v>
      </c>
      <c r="L11" s="113">
        <f>Tableau134678[[#This Row],[Total HT]]</f>
        <v>51.8</v>
      </c>
      <c r="M11" s="144">
        <f>Tableau134678[[#This Row],[TVA]]</f>
        <v>4.2000000000000028</v>
      </c>
      <c r="N11" s="114"/>
      <c r="O11" s="28"/>
      <c r="P11" s="58"/>
    </row>
    <row r="12" spans="1:16" s="34" customFormat="1" x14ac:dyDescent="0.25">
      <c r="A12" s="111"/>
      <c r="B12" s="118">
        <v>45566</v>
      </c>
      <c r="C12" s="120" t="s">
        <v>126</v>
      </c>
      <c r="D12" s="121" t="s">
        <v>19</v>
      </c>
      <c r="E12" s="115">
        <v>2.31</v>
      </c>
      <c r="F12" s="124"/>
      <c r="G12" s="116">
        <f>Tableau134678[[#This Row],[Total TTC]]-Tableau134678[[#This Row],[Total HT]]</f>
        <v>0.18999999999999995</v>
      </c>
      <c r="H12" s="131">
        <v>2.5</v>
      </c>
      <c r="I12" s="136">
        <f>Tableau134678[[#This Row],[Total TTC]]/100*Tableau134678[[#This Row],[TVA]]</f>
        <v>4.749999999999999E-3</v>
      </c>
      <c r="J12" s="131" t="s">
        <v>15</v>
      </c>
      <c r="K12" s="112">
        <f>Tableau134678[[#This Row],[Total TTC]]</f>
        <v>2.5</v>
      </c>
      <c r="L12" s="113">
        <f>Tableau134678[[#This Row],[Total HT]]</f>
        <v>2.31</v>
      </c>
      <c r="M12" s="144">
        <f>Tableau134678[[#This Row],[TVA]]</f>
        <v>0.18999999999999995</v>
      </c>
      <c r="N12" s="114"/>
      <c r="O12" s="28"/>
      <c r="P12" s="58"/>
    </row>
    <row r="13" spans="1:16" s="34" customFormat="1" x14ac:dyDescent="0.25">
      <c r="A13" s="111"/>
      <c r="B13" s="118">
        <v>45569</v>
      </c>
      <c r="C13" s="120" t="s">
        <v>101</v>
      </c>
      <c r="D13" s="121" t="s">
        <v>20</v>
      </c>
      <c r="E13" s="115">
        <v>102.18</v>
      </c>
      <c r="F13" s="124"/>
      <c r="G13" s="116">
        <f>Tableau134678[[#This Row],[Total TTC]]-Tableau134678[[#This Row],[Total HT]]</f>
        <v>7.8199999999999932</v>
      </c>
      <c r="H13" s="131">
        <v>110</v>
      </c>
      <c r="I13" s="136">
        <f>Tableau134678[[#This Row],[Total TTC]]/100*Tableau134678[[#This Row],[TVA]]</f>
        <v>8.6019999999999932</v>
      </c>
      <c r="J13" s="131" t="s">
        <v>11</v>
      </c>
      <c r="K13" s="112">
        <f>Tableau134678[[#This Row],[Total TTC]]</f>
        <v>110</v>
      </c>
      <c r="L13" s="113">
        <f>Tableau134678[[#This Row],[Total HT]]</f>
        <v>102.18</v>
      </c>
      <c r="M13" s="144">
        <f>Tableau134678[[#This Row],[TVA]]</f>
        <v>7.8199999999999932</v>
      </c>
      <c r="N13" s="114"/>
      <c r="O13" s="28">
        <f>Tableau134678[[#This Row],[Montant 
Brut CHF]]</f>
        <v>110</v>
      </c>
      <c r="P13" s="58">
        <f>Tableau134678[[#This Row],[Montant 
Brut CHF]]-Tableau134678[[#This Row],[Dcpte 
Mastercard]]</f>
        <v>0</v>
      </c>
    </row>
    <row r="14" spans="1:16" s="34" customFormat="1" x14ac:dyDescent="0.25">
      <c r="A14" s="111"/>
      <c r="B14" s="118">
        <v>45569</v>
      </c>
      <c r="C14" s="120" t="s">
        <v>127</v>
      </c>
      <c r="D14" s="121" t="s">
        <v>29</v>
      </c>
      <c r="E14" s="115">
        <v>2.31</v>
      </c>
      <c r="F14" s="124"/>
      <c r="G14" s="116">
        <f>Tableau134678[[#This Row],[Total TTC]]-Tableau134678[[#This Row],[Total HT]]</f>
        <v>0.18999999999999995</v>
      </c>
      <c r="H14" s="131">
        <v>2.5</v>
      </c>
      <c r="I14" s="136">
        <f>Tableau134678[[#This Row],[Total TTC]]/100*Tableau134678[[#This Row],[TVA]]</f>
        <v>4.749999999999999E-3</v>
      </c>
      <c r="J14" s="131" t="s">
        <v>159</v>
      </c>
      <c r="K14" s="112">
        <f>Tableau134678[[#This Row],[Total TTC]]</f>
        <v>2.5</v>
      </c>
      <c r="L14" s="113">
        <f>Tableau134678[[#This Row],[Total HT]]</f>
        <v>2.31</v>
      </c>
      <c r="M14" s="144">
        <f>Tableau134678[[#This Row],[TVA]]</f>
        <v>0.18999999999999995</v>
      </c>
      <c r="N14" s="114"/>
      <c r="O14" s="28"/>
      <c r="P14" s="58"/>
    </row>
    <row r="15" spans="1:16" s="34" customFormat="1" x14ac:dyDescent="0.25">
      <c r="A15" s="111"/>
      <c r="B15" s="118">
        <v>45569</v>
      </c>
      <c r="C15" s="120" t="s">
        <v>108</v>
      </c>
      <c r="D15" s="121" t="s">
        <v>20</v>
      </c>
      <c r="E15" s="115">
        <v>23.85</v>
      </c>
      <c r="F15" s="124"/>
      <c r="G15" s="116">
        <f>Tableau134678[[#This Row],[Total TTC]]-Tableau134678[[#This Row],[Total HT]]</f>
        <v>2.5999999999999979</v>
      </c>
      <c r="H15" s="131">
        <v>26.45</v>
      </c>
      <c r="I15" s="136">
        <f>Tableau134678[[#This Row],[Total TTC]]/100*Tableau134678[[#This Row],[TVA]]</f>
        <v>0.68769999999999942</v>
      </c>
      <c r="J15" s="131" t="s">
        <v>11</v>
      </c>
      <c r="K15" s="112">
        <f>Tableau134678[[#This Row],[Total TTC]]</f>
        <v>26.45</v>
      </c>
      <c r="L15" s="113">
        <f>Tableau134678[[#This Row],[Total HT]]</f>
        <v>23.85</v>
      </c>
      <c r="M15" s="144">
        <f>Tableau134678[[#This Row],[TVA]]</f>
        <v>2.5999999999999979</v>
      </c>
      <c r="N15" s="114"/>
      <c r="O15" s="28">
        <v>26.45</v>
      </c>
      <c r="P15" s="58">
        <f>Tableau134678[[#This Row],[Montant 
Brut CHF]]-Tableau134678[[#This Row],[Dcpte 
Mastercard]]</f>
        <v>0</v>
      </c>
    </row>
    <row r="16" spans="1:16" s="34" customFormat="1" x14ac:dyDescent="0.25">
      <c r="A16" s="111"/>
      <c r="B16" s="118">
        <v>45573</v>
      </c>
      <c r="C16" s="120" t="s">
        <v>128</v>
      </c>
      <c r="D16" s="121" t="s">
        <v>20</v>
      </c>
      <c r="E16" s="115">
        <v>21.18</v>
      </c>
      <c r="F16" s="124"/>
      <c r="G16" s="116">
        <f>Tableau134678[[#This Row],[Total TTC]]-Tableau134678[[#This Row],[Total HT]]</f>
        <v>1.7199999999999989</v>
      </c>
      <c r="H16" s="131">
        <v>22.9</v>
      </c>
      <c r="I16" s="136">
        <f>Tableau134678[[#This Row],[Total TTC]]/100*Tableau134678[[#This Row],[TVA]]</f>
        <v>0.39387999999999973</v>
      </c>
      <c r="J16" s="131" t="s">
        <v>159</v>
      </c>
      <c r="K16" s="112">
        <f>Tableau134678[[#This Row],[Total TTC]]</f>
        <v>22.9</v>
      </c>
      <c r="L16" s="113">
        <f>Tableau134678[[#This Row],[Total HT]]</f>
        <v>21.18</v>
      </c>
      <c r="M16" s="144">
        <f>Tableau134678[[#This Row],[TVA]]</f>
        <v>1.7199999999999989</v>
      </c>
      <c r="N16" s="114"/>
      <c r="O16" s="28"/>
      <c r="P16" s="58"/>
    </row>
    <row r="17" spans="1:16" s="34" customFormat="1" x14ac:dyDescent="0.25">
      <c r="A17" s="111"/>
      <c r="B17" s="118">
        <v>45573</v>
      </c>
      <c r="C17" s="120" t="s">
        <v>51</v>
      </c>
      <c r="D17" s="121" t="s">
        <v>20</v>
      </c>
      <c r="E17" s="115">
        <v>40.700000000000003</v>
      </c>
      <c r="F17" s="124"/>
      <c r="G17" s="116">
        <f>Tableau134678[[#This Row],[Total TTC]]-Tableau134678[[#This Row],[Total HT]]</f>
        <v>3.2999999999999972</v>
      </c>
      <c r="H17" s="131">
        <v>44</v>
      </c>
      <c r="I17" s="136">
        <f>Tableau134678[[#This Row],[Total TTC]]/100*Tableau134678[[#This Row],[TVA]]</f>
        <v>1.4519999999999988</v>
      </c>
      <c r="J17" s="131" t="s">
        <v>11</v>
      </c>
      <c r="K17" s="112">
        <f>Tableau134678[[#This Row],[Total TTC]]</f>
        <v>44</v>
      </c>
      <c r="L17" s="113">
        <f>Tableau134678[[#This Row],[Total HT]]</f>
        <v>40.700000000000003</v>
      </c>
      <c r="M17" s="144">
        <f>Tableau134678[[#This Row],[TVA]]</f>
        <v>3.2999999999999972</v>
      </c>
      <c r="N17" s="114"/>
      <c r="O17" s="28">
        <f>Tableau134678[[#This Row],[Montant 
Brut CHF]]</f>
        <v>44</v>
      </c>
      <c r="P17" s="58">
        <f>Tableau134678[[#This Row],[Montant 
Brut CHF]]-Tableau134678[[#This Row],[Dcpte 
Mastercard]]</f>
        <v>0</v>
      </c>
    </row>
    <row r="18" spans="1:16" s="34" customFormat="1" x14ac:dyDescent="0.25">
      <c r="A18" s="111"/>
      <c r="B18" s="118">
        <v>45573</v>
      </c>
      <c r="C18" s="120" t="s">
        <v>51</v>
      </c>
      <c r="D18" s="121" t="s">
        <v>19</v>
      </c>
      <c r="E18" s="115">
        <v>0.93</v>
      </c>
      <c r="F18" s="124"/>
      <c r="G18" s="116">
        <f>Tableau134678[[#This Row],[Total TTC]]-Tableau134678[[#This Row],[Total HT]]</f>
        <v>6.9999999999999951E-2</v>
      </c>
      <c r="H18" s="131">
        <v>1</v>
      </c>
      <c r="I18" s="136">
        <f>Tableau134678[[#This Row],[Total TTC]]/100*Tableau134678[[#This Row],[TVA]]</f>
        <v>6.9999999999999956E-4</v>
      </c>
      <c r="J18" s="131" t="s">
        <v>11</v>
      </c>
      <c r="K18" s="112">
        <f>Tableau134678[[#This Row],[Total TTC]]</f>
        <v>1</v>
      </c>
      <c r="L18" s="113">
        <f>Tableau134678[[#This Row],[Total HT]]</f>
        <v>0.93</v>
      </c>
      <c r="M18" s="144">
        <f>Tableau134678[[#This Row],[TVA]]</f>
        <v>6.9999999999999951E-2</v>
      </c>
      <c r="N18" s="114"/>
      <c r="O18" s="28">
        <f>Tableau134678[[#This Row],[Montant 
Brut CHF]]</f>
        <v>1</v>
      </c>
      <c r="P18" s="58">
        <f>Tableau134678[[#This Row],[Montant 
Brut CHF]]-Tableau134678[[#This Row],[Dcpte 
Mastercard]]</f>
        <v>0</v>
      </c>
    </row>
    <row r="19" spans="1:16" s="34" customFormat="1" x14ac:dyDescent="0.25">
      <c r="A19" s="111"/>
      <c r="B19" s="118">
        <v>45576</v>
      </c>
      <c r="C19" s="120" t="s">
        <v>129</v>
      </c>
      <c r="D19" s="121" t="s">
        <v>19</v>
      </c>
      <c r="E19" s="115">
        <v>0.3</v>
      </c>
      <c r="F19" s="124"/>
      <c r="G19" s="116">
        <f>Tableau134678[[#This Row],[Total TTC]]-Tableau134678[[#This Row],[Total HT]]</f>
        <v>0</v>
      </c>
      <c r="H19" s="131">
        <v>0.3</v>
      </c>
      <c r="I19" s="136">
        <f>Tableau134678[[#This Row],[Total TTC]]/100*Tableau134678[[#This Row],[TVA]]</f>
        <v>0</v>
      </c>
      <c r="J19" s="131" t="s">
        <v>159</v>
      </c>
      <c r="K19" s="112">
        <f>Tableau134678[[#This Row],[Total TTC]]</f>
        <v>0.3</v>
      </c>
      <c r="L19" s="113">
        <f>Tableau134678[[#This Row],[Total HT]]</f>
        <v>0.3</v>
      </c>
      <c r="M19" s="144">
        <f>Tableau134678[[#This Row],[TVA]]</f>
        <v>0</v>
      </c>
      <c r="N19" s="114"/>
      <c r="O19" s="28"/>
      <c r="P19" s="58"/>
    </row>
    <row r="20" spans="1:16" s="34" customFormat="1" x14ac:dyDescent="0.25">
      <c r="A20" s="111"/>
      <c r="B20" s="118">
        <v>45576</v>
      </c>
      <c r="C20" s="120" t="s">
        <v>51</v>
      </c>
      <c r="D20" s="121" t="s">
        <v>20</v>
      </c>
      <c r="E20" s="115">
        <v>22.86</v>
      </c>
      <c r="F20" s="124"/>
      <c r="G20" s="116">
        <f>Tableau134678[[#This Row],[Total TTC]]-Tableau134678[[#This Row],[Total HT]]</f>
        <v>0.64000000000000057</v>
      </c>
      <c r="H20" s="131">
        <v>23.5</v>
      </c>
      <c r="I20" s="136">
        <f>Tableau134678[[#This Row],[Total TTC]]/100*Tableau134678[[#This Row],[TVA]]</f>
        <v>0.15040000000000012</v>
      </c>
      <c r="J20" s="131" t="s">
        <v>11</v>
      </c>
      <c r="K20" s="112">
        <f>Tableau134678[[#This Row],[Total TTC]]</f>
        <v>23.5</v>
      </c>
      <c r="L20" s="113">
        <f>Tableau134678[[#This Row],[Total HT]]</f>
        <v>22.86</v>
      </c>
      <c r="M20" s="144">
        <f>Tableau134678[[#This Row],[TVA]]</f>
        <v>0.64000000000000057</v>
      </c>
      <c r="N20" s="114"/>
      <c r="O20" s="28">
        <f>Tableau134678[[#This Row],[Montant 
Brut CHF]]</f>
        <v>23.5</v>
      </c>
      <c r="P20" s="58">
        <f>Tableau134678[[#This Row],[Montant 
Brut CHF]]-Tableau134678[[#This Row],[Dcpte 
Mastercard]]</f>
        <v>0</v>
      </c>
    </row>
    <row r="21" spans="1:16" s="34" customFormat="1" x14ac:dyDescent="0.25">
      <c r="A21" s="111"/>
      <c r="B21" s="118">
        <v>45578</v>
      </c>
      <c r="C21" s="120" t="s">
        <v>130</v>
      </c>
      <c r="D21" s="121" t="s">
        <v>29</v>
      </c>
      <c r="E21" s="115">
        <v>53.35</v>
      </c>
      <c r="F21" s="124"/>
      <c r="G21" s="116">
        <f>Tableau134678[[#This Row],[Total TTC]]-Tableau134678[[#This Row],[Total HT]]</f>
        <v>0</v>
      </c>
      <c r="H21" s="131">
        <v>53.35</v>
      </c>
      <c r="I21" s="136">
        <f>Tableau134678[[#This Row],[Total TTC]]/100*Tableau134678[[#This Row],[TVA]]</f>
        <v>0</v>
      </c>
      <c r="J21" s="124" t="s">
        <v>11</v>
      </c>
      <c r="K21" s="112">
        <f>Tableau134678[[#This Row],[Total TTC]]</f>
        <v>53.35</v>
      </c>
      <c r="L21" s="113">
        <f>Tableau134678[[#This Row],[Total HT]]</f>
        <v>53.35</v>
      </c>
      <c r="M21" s="144">
        <f>Tableau134678[[#This Row],[TVA]]</f>
        <v>0</v>
      </c>
      <c r="N21" s="114"/>
      <c r="O21" s="28">
        <f>Tableau134678[[#This Row],[Montant 
Brut CHF]]</f>
        <v>53.35</v>
      </c>
      <c r="P21" s="58">
        <f>Tableau134678[[#This Row],[Montant 
Brut CHF]]-Tableau134678[[#This Row],[Dcpte 
Mastercard]]</f>
        <v>0</v>
      </c>
    </row>
    <row r="22" spans="1:16" s="34" customFormat="1" x14ac:dyDescent="0.25">
      <c r="A22" s="111"/>
      <c r="B22" s="118">
        <v>45579</v>
      </c>
      <c r="C22" s="120" t="s">
        <v>131</v>
      </c>
      <c r="D22" s="121" t="s">
        <v>19</v>
      </c>
      <c r="E22" s="115">
        <v>17.53</v>
      </c>
      <c r="F22" s="124"/>
      <c r="G22" s="116">
        <f>Tableau134678[[#This Row],[Total TTC]]-Tableau134678[[#This Row],[Total HT]]</f>
        <v>1.4199999999999982</v>
      </c>
      <c r="H22" s="131">
        <v>18.95</v>
      </c>
      <c r="I22" s="136">
        <f>Tableau134678[[#This Row],[Total TTC]]/100*Tableau134678[[#This Row],[TVA]]</f>
        <v>0.26908999999999966</v>
      </c>
      <c r="J22" s="131" t="s">
        <v>159</v>
      </c>
      <c r="K22" s="112">
        <f>Tableau134678[[#This Row],[Total TTC]]</f>
        <v>18.95</v>
      </c>
      <c r="L22" s="113">
        <f>Tableau134678[[#This Row],[Total HT]]</f>
        <v>17.53</v>
      </c>
      <c r="M22" s="144">
        <f>Tableau134678[[#This Row],[TVA]]</f>
        <v>1.4199999999999982</v>
      </c>
      <c r="N22" s="114"/>
      <c r="O22" s="28"/>
      <c r="P22" s="58"/>
    </row>
    <row r="23" spans="1:16" s="34" customFormat="1" x14ac:dyDescent="0.25">
      <c r="A23" s="111"/>
      <c r="B23" s="118">
        <v>45580</v>
      </c>
      <c r="C23" s="120" t="s">
        <v>52</v>
      </c>
      <c r="D23" s="121" t="s">
        <v>19</v>
      </c>
      <c r="E23" s="115">
        <v>12.95</v>
      </c>
      <c r="F23" s="124"/>
      <c r="G23" s="116">
        <f>Tableau134678[[#This Row],[Total TTC]]-Tableau134678[[#This Row],[Total HT]]</f>
        <v>1.0500000000000007</v>
      </c>
      <c r="H23" s="131">
        <v>14</v>
      </c>
      <c r="I23" s="136">
        <f>Tableau134678[[#This Row],[Total TTC]]/100*Tableau134678[[#This Row],[TVA]]</f>
        <v>0.1470000000000001</v>
      </c>
      <c r="J23" s="131" t="s">
        <v>159</v>
      </c>
      <c r="K23" s="112">
        <f>Tableau134678[[#This Row],[Total TTC]]</f>
        <v>14</v>
      </c>
      <c r="L23" s="113">
        <f>Tableau134678[[#This Row],[Total HT]]</f>
        <v>12.95</v>
      </c>
      <c r="M23" s="144">
        <f>Tableau134678[[#This Row],[TVA]]</f>
        <v>1.0500000000000007</v>
      </c>
      <c r="N23" s="114"/>
      <c r="O23" s="28"/>
      <c r="P23" s="58"/>
    </row>
    <row r="24" spans="1:16" s="34" customFormat="1" x14ac:dyDescent="0.25">
      <c r="A24" s="111"/>
      <c r="B24" s="118">
        <v>45581</v>
      </c>
      <c r="C24" s="120" t="s">
        <v>132</v>
      </c>
      <c r="D24" s="121" t="s">
        <v>19</v>
      </c>
      <c r="E24" s="115">
        <v>1.7</v>
      </c>
      <c r="F24" s="124"/>
      <c r="G24" s="116">
        <f>Tableau134678[[#This Row],[Total TTC]]-Tableau134678[[#This Row],[Total HT]]</f>
        <v>0</v>
      </c>
      <c r="H24" s="131">
        <v>1.7</v>
      </c>
      <c r="I24" s="136">
        <f>Tableau134678[[#This Row],[Total TTC]]/100*Tableau134678[[#This Row],[TVA]]</f>
        <v>0</v>
      </c>
      <c r="J24" s="131" t="s">
        <v>15</v>
      </c>
      <c r="K24" s="112">
        <f>Tableau134678[[#This Row],[Total TTC]]</f>
        <v>1.7</v>
      </c>
      <c r="L24" s="113">
        <f>Tableau134678[[#This Row],[Total HT]]</f>
        <v>1.7</v>
      </c>
      <c r="M24" s="144">
        <f>Tableau134678[[#This Row],[TVA]]</f>
        <v>0</v>
      </c>
      <c r="N24" s="114"/>
      <c r="O24" s="28">
        <f>Tableau134678[[#This Row],[Montant 
Brut CHF]]</f>
        <v>1.7</v>
      </c>
      <c r="P24" s="58">
        <f>Tableau134678[[#This Row],[Montant 
Brut CHF]]-Tableau134678[[#This Row],[Dcpte 
Mastercard]]</f>
        <v>0</v>
      </c>
    </row>
    <row r="25" spans="1:16" s="34" customFormat="1" x14ac:dyDescent="0.25">
      <c r="A25" s="111"/>
      <c r="B25" s="118">
        <v>45581</v>
      </c>
      <c r="C25" s="120" t="s">
        <v>133</v>
      </c>
      <c r="D25" s="121" t="s">
        <v>20</v>
      </c>
      <c r="E25" s="115">
        <v>6.8</v>
      </c>
      <c r="F25" s="124"/>
      <c r="G25" s="116">
        <f>Tableau134678[[#This Row],[Total TTC]]-Tableau134678[[#This Row],[Total HT]]</f>
        <v>0.5</v>
      </c>
      <c r="H25" s="131">
        <v>7.3</v>
      </c>
      <c r="I25" s="136">
        <f>Tableau134678[[#This Row],[Total TTC]]/100*Tableau134678[[#This Row],[TVA]]</f>
        <v>3.6499999999999998E-2</v>
      </c>
      <c r="J25" s="131" t="s">
        <v>11</v>
      </c>
      <c r="K25" s="112">
        <f>Tableau134678[[#This Row],[Total TTC]]</f>
        <v>7.3</v>
      </c>
      <c r="L25" s="113">
        <f>Tableau134678[[#This Row],[Total HT]]</f>
        <v>6.8</v>
      </c>
      <c r="M25" s="144">
        <f>Tableau134678[[#This Row],[TVA]]</f>
        <v>0.5</v>
      </c>
      <c r="N25" s="114"/>
      <c r="O25" s="28">
        <f>Tableau134678[[#This Row],[Montant 
Brut CHF]]</f>
        <v>7.3</v>
      </c>
      <c r="P25" s="58">
        <f>Tableau134678[[#This Row],[Montant 
Brut CHF]]-Tableau134678[[#This Row],[Dcpte 
Mastercard]]</f>
        <v>0</v>
      </c>
    </row>
    <row r="26" spans="1:16" s="34" customFormat="1" x14ac:dyDescent="0.25">
      <c r="A26" s="111"/>
      <c r="B26" s="118">
        <v>45581</v>
      </c>
      <c r="C26" s="120" t="s">
        <v>134</v>
      </c>
      <c r="D26" s="121" t="s">
        <v>20</v>
      </c>
      <c r="E26" s="115">
        <v>20.47</v>
      </c>
      <c r="F26" s="124"/>
      <c r="G26" s="116">
        <f>Tableau134678[[#This Row],[Total TTC]]-Tableau134678[[#This Row],[Total HT]]</f>
        <v>0.53000000000000114</v>
      </c>
      <c r="H26" s="131">
        <v>21</v>
      </c>
      <c r="I26" s="136">
        <f>Tableau134678[[#This Row],[Total TTC]]/100*Tableau134678[[#This Row],[TVA]]</f>
        <v>0.11130000000000023</v>
      </c>
      <c r="J26" s="131" t="s">
        <v>11</v>
      </c>
      <c r="K26" s="112">
        <f>Tableau134678[[#This Row],[Total TTC]]</f>
        <v>21</v>
      </c>
      <c r="L26" s="113">
        <f>Tableau134678[[#This Row],[Total HT]]</f>
        <v>20.47</v>
      </c>
      <c r="M26" s="144">
        <f>Tableau134678[[#This Row],[TVA]]</f>
        <v>0.53000000000000114</v>
      </c>
      <c r="N26" s="114"/>
      <c r="O26" s="28">
        <v>21</v>
      </c>
      <c r="P26" s="58">
        <f>Tableau134678[[#This Row],[Montant 
Brut CHF]]-Tableau134678[[#This Row],[Dcpte 
Mastercard]]</f>
        <v>0</v>
      </c>
    </row>
    <row r="27" spans="1:16" s="34" customFormat="1" x14ac:dyDescent="0.25">
      <c r="A27" s="111"/>
      <c r="B27" s="118">
        <v>45583</v>
      </c>
      <c r="C27" s="120" t="s">
        <v>135</v>
      </c>
      <c r="D27" s="121" t="s">
        <v>20</v>
      </c>
      <c r="E27" s="115">
        <v>16.37</v>
      </c>
      <c r="F27" s="124"/>
      <c r="G27" s="116">
        <f>Tableau134678[[#This Row],[Total TTC]]-Tableau134678[[#This Row],[Total HT]]</f>
        <v>0.42999999999999972</v>
      </c>
      <c r="H27" s="131">
        <v>16.8</v>
      </c>
      <c r="I27" s="136">
        <f>Tableau134678[[#This Row],[Total TTC]]/100*Tableau134678[[#This Row],[TVA]]</f>
        <v>7.2239999999999957E-2</v>
      </c>
      <c r="J27" s="131" t="s">
        <v>159</v>
      </c>
      <c r="K27" s="112">
        <f>Tableau134678[[#This Row],[Total TTC]]</f>
        <v>16.8</v>
      </c>
      <c r="L27" s="113">
        <f>Tableau134678[[#This Row],[Total HT]]</f>
        <v>16.37</v>
      </c>
      <c r="M27" s="144">
        <f>Tableau134678[[#This Row],[TVA]]</f>
        <v>0.42999999999999972</v>
      </c>
      <c r="N27" s="114"/>
      <c r="O27" s="28"/>
      <c r="P27" s="58"/>
    </row>
    <row r="28" spans="1:16" s="34" customFormat="1" x14ac:dyDescent="0.25">
      <c r="A28" s="111"/>
      <c r="B28" s="118">
        <v>45583</v>
      </c>
      <c r="C28" s="120" t="s">
        <v>135</v>
      </c>
      <c r="D28" s="121" t="s">
        <v>20</v>
      </c>
      <c r="E28" s="115">
        <v>23.96</v>
      </c>
      <c r="F28" s="124"/>
      <c r="G28" s="116">
        <f>Tableau134678[[#This Row],[Total TTC]]-Tableau134678[[#This Row],[Total HT]]</f>
        <v>1.9399999999999977</v>
      </c>
      <c r="H28" s="131">
        <v>25.9</v>
      </c>
      <c r="I28" s="136">
        <f>Tableau134678[[#This Row],[Total TTC]]/100*Tableau134678[[#This Row],[TVA]]</f>
        <v>0.50245999999999946</v>
      </c>
      <c r="J28" s="131" t="s">
        <v>159</v>
      </c>
      <c r="K28" s="112">
        <f>Tableau134678[[#This Row],[Total TTC]]</f>
        <v>25.9</v>
      </c>
      <c r="L28" s="113">
        <f>Tableau134678[[#This Row],[Total HT]]</f>
        <v>23.96</v>
      </c>
      <c r="M28" s="144">
        <f>Tableau134678[[#This Row],[TVA]]</f>
        <v>1.9399999999999977</v>
      </c>
      <c r="N28" s="114"/>
      <c r="O28" s="28"/>
      <c r="P28" s="58"/>
    </row>
    <row r="29" spans="1:16" s="34" customFormat="1" x14ac:dyDescent="0.25">
      <c r="A29" s="111"/>
      <c r="B29" s="118">
        <v>45583</v>
      </c>
      <c r="C29" s="120" t="s">
        <v>136</v>
      </c>
      <c r="D29" s="121" t="s">
        <v>20</v>
      </c>
      <c r="E29" s="115">
        <v>9.5500000000000007</v>
      </c>
      <c r="F29" s="124"/>
      <c r="G29" s="116">
        <f>Tableau134678[[#This Row],[Total TTC]]-Tableau134678[[#This Row],[Total HT]]</f>
        <v>0.25</v>
      </c>
      <c r="H29" s="131">
        <v>9.8000000000000007</v>
      </c>
      <c r="I29" s="136">
        <f>Tableau134678[[#This Row],[Total TTC]]/100*Tableau134678[[#This Row],[TVA]]</f>
        <v>2.4500000000000001E-2</v>
      </c>
      <c r="J29" s="131" t="s">
        <v>159</v>
      </c>
      <c r="K29" s="112">
        <f>Tableau134678[[#This Row],[Total TTC]]</f>
        <v>9.8000000000000007</v>
      </c>
      <c r="L29" s="113">
        <f>Tableau134678[[#This Row],[Total HT]]</f>
        <v>9.5500000000000007</v>
      </c>
      <c r="M29" s="144">
        <f>Tableau134678[[#This Row],[TVA]]</f>
        <v>0.25</v>
      </c>
      <c r="N29" s="114"/>
      <c r="O29" s="28"/>
      <c r="P29" s="58"/>
    </row>
    <row r="30" spans="1:16" s="34" customFormat="1" x14ac:dyDescent="0.25">
      <c r="A30" s="111"/>
      <c r="B30" s="118">
        <v>45587</v>
      </c>
      <c r="C30" s="120" t="s">
        <v>137</v>
      </c>
      <c r="D30" s="121" t="s">
        <v>20</v>
      </c>
      <c r="E30" s="115">
        <v>24.18</v>
      </c>
      <c r="F30" s="124">
        <v>-25</v>
      </c>
      <c r="G30" s="116">
        <f>Tableau134678[[#This Row],[Total TTC]]-Tableau134678[[#This Row],[Total HT]]</f>
        <v>0</v>
      </c>
      <c r="H30" s="131">
        <v>24.18</v>
      </c>
      <c r="I30" s="136">
        <f>Tableau134678[[#This Row],[Total TTC]]/100*Tableau134678[[#This Row],[TVA]]</f>
        <v>0</v>
      </c>
      <c r="J30" s="131" t="s">
        <v>12</v>
      </c>
      <c r="K30" s="112">
        <f>Tableau134678[[#This Row],[Total TTC]]</f>
        <v>24.18</v>
      </c>
      <c r="L30" s="113">
        <f>Tableau134678[[#This Row],[Total HT]]</f>
        <v>24.18</v>
      </c>
      <c r="M30" s="144">
        <f>Tableau134678[[#This Row],[TVA]]</f>
        <v>0</v>
      </c>
      <c r="N30" s="114"/>
      <c r="O30" s="28">
        <v>24.25</v>
      </c>
      <c r="P30" s="58">
        <f>Tableau134678[[#This Row],[Montant 
Brut CHF]]-Tableau134678[[#This Row],[Dcpte 
Mastercard]]</f>
        <v>-7.0000000000000284E-2</v>
      </c>
    </row>
    <row r="31" spans="1:16" s="34" customFormat="1" x14ac:dyDescent="0.25">
      <c r="A31" s="111"/>
      <c r="B31" s="118">
        <v>45587</v>
      </c>
      <c r="C31" s="120" t="s">
        <v>138</v>
      </c>
      <c r="D31" s="121" t="s">
        <v>139</v>
      </c>
      <c r="E31" s="115">
        <v>145.07</v>
      </c>
      <c r="F31" s="124">
        <v>-150</v>
      </c>
      <c r="G31" s="116">
        <f>Tableau134678[[#This Row],[Total TTC]]-Tableau134678[[#This Row],[Total HT]]</f>
        <v>0</v>
      </c>
      <c r="H31" s="131">
        <v>145.07</v>
      </c>
      <c r="I31" s="136">
        <f>Tableau134678[[#This Row],[Total TTC]]/100*Tableau134678[[#This Row],[TVA]]</f>
        <v>0</v>
      </c>
      <c r="J31" s="131" t="s">
        <v>159</v>
      </c>
      <c r="K31" s="112">
        <f>Tableau134678[[#This Row],[Total TTC]]</f>
        <v>145.07</v>
      </c>
      <c r="L31" s="113">
        <f>Tableau134678[[#This Row],[Total HT]]</f>
        <v>145.07</v>
      </c>
      <c r="M31" s="144">
        <f>Tableau134678[[#This Row],[TVA]]</f>
        <v>0</v>
      </c>
      <c r="N31" s="114"/>
      <c r="O31" s="28"/>
      <c r="P31" s="58"/>
    </row>
    <row r="32" spans="1:16" s="34" customFormat="1" x14ac:dyDescent="0.25">
      <c r="A32" s="111"/>
      <c r="B32" s="118">
        <v>45587</v>
      </c>
      <c r="C32" s="120" t="s">
        <v>140</v>
      </c>
      <c r="D32" s="121" t="s">
        <v>20</v>
      </c>
      <c r="E32" s="115">
        <v>14.41</v>
      </c>
      <c r="F32" s="124">
        <v>-14.9</v>
      </c>
      <c r="G32" s="116">
        <f>Tableau134678[[#This Row],[Total TTC]]-Tableau134678[[#This Row],[Total HT]]</f>
        <v>0</v>
      </c>
      <c r="H32" s="131">
        <v>14.41</v>
      </c>
      <c r="I32" s="136">
        <f>Tableau134678[[#This Row],[Total TTC]]/100*Tableau134678[[#This Row],[TVA]]</f>
        <v>0</v>
      </c>
      <c r="J32" s="131" t="s">
        <v>12</v>
      </c>
      <c r="K32" s="112">
        <f>Tableau134678[[#This Row],[Total TTC]]</f>
        <v>14.41</v>
      </c>
      <c r="L32" s="113">
        <f>Tableau134678[[#This Row],[Total HT]]</f>
        <v>14.41</v>
      </c>
      <c r="M32" s="144">
        <f>Tableau134678[[#This Row],[TVA]]</f>
        <v>0</v>
      </c>
      <c r="N32" s="114"/>
      <c r="O32" s="28">
        <v>14.45</v>
      </c>
      <c r="P32" s="58">
        <f>Tableau134678[[#This Row],[Montant 
Brut CHF]]-Tableau134678[[#This Row],[Dcpte 
Mastercard]]</f>
        <v>-3.9999999999999147E-2</v>
      </c>
    </row>
    <row r="33" spans="1:16" s="34" customFormat="1" x14ac:dyDescent="0.25">
      <c r="A33" s="111"/>
      <c r="B33" s="118">
        <v>45587</v>
      </c>
      <c r="C33" s="120" t="s">
        <v>141</v>
      </c>
      <c r="D33" s="121" t="s">
        <v>142</v>
      </c>
      <c r="E33" s="115">
        <v>24.16</v>
      </c>
      <c r="F33" s="124">
        <v>-24.98</v>
      </c>
      <c r="G33" s="116">
        <f>Tableau134678[[#This Row],[Total TTC]]-Tableau134678[[#This Row],[Total HT]]</f>
        <v>0</v>
      </c>
      <c r="H33" s="131">
        <v>24.16</v>
      </c>
      <c r="I33" s="136">
        <f>Tableau134678[[#This Row],[Total TTC]]/100*Tableau134678[[#This Row],[TVA]]</f>
        <v>0</v>
      </c>
      <c r="J33" s="131" t="s">
        <v>159</v>
      </c>
      <c r="K33" s="112">
        <f>Tableau134678[[#This Row],[Total TTC]]</f>
        <v>24.16</v>
      </c>
      <c r="L33" s="113">
        <f>Tableau134678[[#This Row],[Total HT]]</f>
        <v>24.16</v>
      </c>
      <c r="M33" s="144">
        <f>Tableau134678[[#This Row],[TVA]]</f>
        <v>0</v>
      </c>
      <c r="N33" s="114"/>
      <c r="O33" s="28"/>
      <c r="P33" s="58"/>
    </row>
    <row r="34" spans="1:16" s="34" customFormat="1" x14ac:dyDescent="0.25">
      <c r="A34" s="111"/>
      <c r="B34" s="118">
        <v>45588</v>
      </c>
      <c r="C34" s="120" t="s">
        <v>142</v>
      </c>
      <c r="D34" s="121" t="s">
        <v>142</v>
      </c>
      <c r="E34" s="115">
        <v>19.34</v>
      </c>
      <c r="F34" s="124">
        <v>-20</v>
      </c>
      <c r="G34" s="116">
        <f>Tableau134678[[#This Row],[Total TTC]]-Tableau134678[[#This Row],[Total HT]]</f>
        <v>0</v>
      </c>
      <c r="H34" s="131">
        <v>19.34</v>
      </c>
      <c r="I34" s="136">
        <f>Tableau134678[[#This Row],[Total TTC]]/100*Tableau134678[[#This Row],[TVA]]</f>
        <v>0</v>
      </c>
      <c r="J34" s="131" t="s">
        <v>159</v>
      </c>
      <c r="K34" s="112">
        <f>Tableau134678[[#This Row],[Total TTC]]</f>
        <v>19.34</v>
      </c>
      <c r="L34" s="113">
        <f>Tableau134678[[#This Row],[Total HT]]</f>
        <v>19.34</v>
      </c>
      <c r="M34" s="144">
        <f>Tableau134678[[#This Row],[TVA]]</f>
        <v>0</v>
      </c>
      <c r="N34" s="114"/>
      <c r="O34" s="28"/>
      <c r="P34" s="58"/>
    </row>
    <row r="35" spans="1:16" s="34" customFormat="1" x14ac:dyDescent="0.25">
      <c r="A35" s="111"/>
      <c r="B35" s="118">
        <v>45588</v>
      </c>
      <c r="C35" s="120" t="s">
        <v>141</v>
      </c>
      <c r="D35" s="121" t="s">
        <v>142</v>
      </c>
      <c r="E35" s="115">
        <v>15.42</v>
      </c>
      <c r="F35" s="124">
        <v>-15.94</v>
      </c>
      <c r="G35" s="116">
        <f>Tableau134678[[#This Row],[Total TTC]]-Tableau134678[[#This Row],[Total HT]]</f>
        <v>0</v>
      </c>
      <c r="H35" s="131">
        <v>15.42</v>
      </c>
      <c r="I35" s="136">
        <f>Tableau134678[[#This Row],[Total TTC]]/100*Tableau134678[[#This Row],[TVA]]</f>
        <v>0</v>
      </c>
      <c r="J35" s="131" t="s">
        <v>12</v>
      </c>
      <c r="K35" s="112">
        <f>Tableau134678[[#This Row],[Total TTC]]</f>
        <v>15.42</v>
      </c>
      <c r="L35" s="113">
        <f>Tableau134678[[#This Row],[Total HT]]</f>
        <v>15.42</v>
      </c>
      <c r="M35" s="144">
        <f>Tableau134678[[#This Row],[TVA]]</f>
        <v>0</v>
      </c>
      <c r="N35" s="114"/>
      <c r="O35" s="28">
        <v>15.45</v>
      </c>
      <c r="P35" s="58">
        <f>Tableau134678[[#This Row],[Montant 
Brut CHF]]-Tableau134678[[#This Row],[Dcpte 
Mastercard]]</f>
        <v>-2.9999999999999361E-2</v>
      </c>
    </row>
    <row r="36" spans="1:16" s="34" customFormat="1" x14ac:dyDescent="0.25">
      <c r="A36" s="111"/>
      <c r="B36" s="118">
        <v>45588</v>
      </c>
      <c r="C36" s="120" t="s">
        <v>143</v>
      </c>
      <c r="D36" s="121" t="s">
        <v>20</v>
      </c>
      <c r="E36" s="115">
        <v>14.89</v>
      </c>
      <c r="F36" s="124">
        <v>-15.4</v>
      </c>
      <c r="G36" s="116">
        <f>Tableau134678[[#This Row],[Total TTC]]-Tableau134678[[#This Row],[Total HT]]</f>
        <v>0</v>
      </c>
      <c r="H36" s="131">
        <v>14.89</v>
      </c>
      <c r="I36" s="136">
        <f>Tableau134678[[#This Row],[Total TTC]]/100*Tableau134678[[#This Row],[TVA]]</f>
        <v>0</v>
      </c>
      <c r="J36" s="131" t="s">
        <v>12</v>
      </c>
      <c r="K36" s="112">
        <f>Tableau134678[[#This Row],[Total TTC]]</f>
        <v>14.89</v>
      </c>
      <c r="L36" s="113">
        <f>Tableau134678[[#This Row],[Total HT]]</f>
        <v>14.89</v>
      </c>
      <c r="M36" s="144">
        <f>Tableau134678[[#This Row],[TVA]]</f>
        <v>0</v>
      </c>
      <c r="N36" s="114"/>
      <c r="O36" s="28">
        <v>14.85</v>
      </c>
      <c r="P36" s="58">
        <f>Tableau134678[[#This Row],[Montant 
Brut CHF]]-Tableau134678[[#This Row],[Dcpte 
Mastercard]]</f>
        <v>4.0000000000000924E-2</v>
      </c>
    </row>
    <row r="37" spans="1:16" s="34" customFormat="1" x14ac:dyDescent="0.25">
      <c r="A37" s="111"/>
      <c r="B37" s="118">
        <v>45588</v>
      </c>
      <c r="C37" s="120" t="s">
        <v>144</v>
      </c>
      <c r="D37" s="121" t="s">
        <v>29</v>
      </c>
      <c r="E37" s="115">
        <v>9.25</v>
      </c>
      <c r="F37" s="124"/>
      <c r="G37" s="116">
        <f>Tableau134678[[#This Row],[Total TTC]]-Tableau134678[[#This Row],[Total HT]]</f>
        <v>0.75</v>
      </c>
      <c r="H37" s="131">
        <v>10</v>
      </c>
      <c r="I37" s="136">
        <f>Tableau134678[[#This Row],[Total TTC]]/100*Tableau134678[[#This Row],[TVA]]</f>
        <v>7.5000000000000011E-2</v>
      </c>
      <c r="J37" s="124" t="s">
        <v>159</v>
      </c>
      <c r="K37" s="112">
        <f>Tableau134678[[#This Row],[Total TTC]]</f>
        <v>10</v>
      </c>
      <c r="L37" s="113">
        <f>Tableau134678[[#This Row],[Total HT]]</f>
        <v>9.25</v>
      </c>
      <c r="M37" s="144">
        <f>Tableau134678[[#This Row],[TVA]]</f>
        <v>0.75</v>
      </c>
      <c r="N37" s="114"/>
      <c r="O37" s="28">
        <v>10</v>
      </c>
      <c r="P37" s="58">
        <f>Tableau134678[[#This Row],[Montant 
Brut CHF]]-Tableau134678[[#This Row],[Dcpte 
Mastercard]]</f>
        <v>0</v>
      </c>
    </row>
    <row r="38" spans="1:16" s="34" customFormat="1" x14ac:dyDescent="0.25">
      <c r="A38" s="111"/>
      <c r="B38" s="118">
        <v>45589</v>
      </c>
      <c r="C38" s="120" t="s">
        <v>145</v>
      </c>
      <c r="D38" s="121" t="s">
        <v>20</v>
      </c>
      <c r="E38" s="115">
        <v>20.27</v>
      </c>
      <c r="F38" s="124">
        <v>-20.9</v>
      </c>
      <c r="G38" s="116">
        <f>Tableau134678[[#This Row],[Total TTC]]-Tableau134678[[#This Row],[Total HT]]</f>
        <v>0</v>
      </c>
      <c r="H38" s="131">
        <v>20.27</v>
      </c>
      <c r="I38" s="136">
        <f>Tableau134678[[#This Row],[Total TTC]]/100*Tableau134678[[#This Row],[TVA]]</f>
        <v>0</v>
      </c>
      <c r="J38" s="131" t="s">
        <v>12</v>
      </c>
      <c r="K38" s="112">
        <f>Tableau134678[[#This Row],[Total TTC]]</f>
        <v>20.27</v>
      </c>
      <c r="L38" s="113">
        <f>Tableau134678[[#This Row],[Total HT]]</f>
        <v>20.27</v>
      </c>
      <c r="M38" s="144">
        <f>Tableau134678[[#This Row],[TVA]]</f>
        <v>0</v>
      </c>
      <c r="N38" s="114"/>
      <c r="O38" s="28">
        <v>20.2</v>
      </c>
      <c r="P38" s="58">
        <f>Tableau134678[[#This Row],[Montant 
Brut CHF]]-Tableau134678[[#This Row],[Dcpte 
Mastercard]]</f>
        <v>7.0000000000000284E-2</v>
      </c>
    </row>
    <row r="39" spans="1:16" s="34" customFormat="1" x14ac:dyDescent="0.25">
      <c r="A39" s="111"/>
      <c r="B39" s="118">
        <v>45589</v>
      </c>
      <c r="C39" s="120" t="s">
        <v>142</v>
      </c>
      <c r="D39" s="121" t="s">
        <v>142</v>
      </c>
      <c r="E39" s="100">
        <v>14.55</v>
      </c>
      <c r="F39" s="124" t="s">
        <v>154</v>
      </c>
      <c r="G39" s="116">
        <f>Tableau134678[[#This Row],[Total TTC]]-Tableau134678[[#This Row],[Total HT]]</f>
        <v>0</v>
      </c>
      <c r="H39" s="95">
        <v>14.55</v>
      </c>
      <c r="I39" s="136">
        <f>Tableau134678[[#This Row],[Total TTC]]/100*Tableau134678[[#This Row],[TVA]]</f>
        <v>0</v>
      </c>
      <c r="J39" s="131" t="s">
        <v>159</v>
      </c>
      <c r="K39" s="112">
        <f>Tableau134678[[#This Row],[Total TTC]]</f>
        <v>14.55</v>
      </c>
      <c r="L39" s="113">
        <f>Tableau134678[[#This Row],[Total HT]]</f>
        <v>14.55</v>
      </c>
      <c r="M39" s="144">
        <f>Tableau134678[[#This Row],[TVA]]</f>
        <v>0</v>
      </c>
      <c r="N39" s="114"/>
      <c r="O39" s="28"/>
      <c r="P39" s="58"/>
    </row>
    <row r="40" spans="1:16" s="34" customFormat="1" x14ac:dyDescent="0.25">
      <c r="A40" s="111"/>
      <c r="B40" s="118">
        <v>45589</v>
      </c>
      <c r="C40" s="120" t="s">
        <v>146</v>
      </c>
      <c r="D40" s="121" t="s">
        <v>20</v>
      </c>
      <c r="E40" s="100">
        <v>33.950000000000003</v>
      </c>
      <c r="F40" s="124" t="s">
        <v>155</v>
      </c>
      <c r="G40" s="116">
        <f>Tableau134678[[#This Row],[Total TTC]]-Tableau134678[[#This Row],[Total HT]]</f>
        <v>0</v>
      </c>
      <c r="H40" s="95">
        <v>33.950000000000003</v>
      </c>
      <c r="I40" s="136">
        <f>Tableau134678[[#This Row],[Total TTC]]/100*Tableau134678[[#This Row],[TVA]]</f>
        <v>0</v>
      </c>
      <c r="J40" s="131" t="s">
        <v>12</v>
      </c>
      <c r="K40" s="112">
        <f>Tableau134678[[#This Row],[Total TTC]]</f>
        <v>33.950000000000003</v>
      </c>
      <c r="L40" s="113">
        <f>Tableau134678[[#This Row],[Total HT]]</f>
        <v>33.950000000000003</v>
      </c>
      <c r="M40" s="144">
        <f>Tableau134678[[#This Row],[TVA]]</f>
        <v>0</v>
      </c>
      <c r="N40" s="114"/>
      <c r="O40" s="28">
        <v>33.799999999999997</v>
      </c>
      <c r="P40" s="58">
        <f>Tableau134678[[#This Row],[Montant 
Brut CHF]]-Tableau134678[[#This Row],[Dcpte 
Mastercard]]</f>
        <v>0.15000000000000568</v>
      </c>
    </row>
    <row r="41" spans="1:16" s="34" customFormat="1" x14ac:dyDescent="0.25">
      <c r="A41" s="111"/>
      <c r="B41" s="118">
        <v>45589</v>
      </c>
      <c r="C41" s="120" t="s">
        <v>142</v>
      </c>
      <c r="D41" s="121" t="s">
        <v>142</v>
      </c>
      <c r="E41" s="100">
        <v>10.67</v>
      </c>
      <c r="F41" s="124" t="s">
        <v>156</v>
      </c>
      <c r="G41" s="116">
        <f>Tableau134678[[#This Row],[Total TTC]]-Tableau134678[[#This Row],[Total HT]]</f>
        <v>0</v>
      </c>
      <c r="H41" s="95">
        <v>10.67</v>
      </c>
      <c r="I41" s="136">
        <f>Tableau134678[[#This Row],[Total TTC]]/100*Tableau134678[[#This Row],[TVA]]</f>
        <v>0</v>
      </c>
      <c r="J41" s="131" t="s">
        <v>12</v>
      </c>
      <c r="K41" s="112">
        <f>Tableau134678[[#This Row],[Total TTC]]</f>
        <v>10.67</v>
      </c>
      <c r="L41" s="113">
        <f>Tableau134678[[#This Row],[Total HT]]</f>
        <v>10.67</v>
      </c>
      <c r="M41" s="144">
        <f>Tableau134678[[#This Row],[TVA]]</f>
        <v>0</v>
      </c>
      <c r="N41" s="114"/>
      <c r="O41" s="28"/>
      <c r="P41" s="58"/>
    </row>
    <row r="42" spans="1:16" s="34" customFormat="1" x14ac:dyDescent="0.25">
      <c r="A42" s="111"/>
      <c r="B42" s="118">
        <v>45590</v>
      </c>
      <c r="C42" s="120" t="s">
        <v>147</v>
      </c>
      <c r="D42" s="121" t="s">
        <v>19</v>
      </c>
      <c r="E42" s="115">
        <v>6.48</v>
      </c>
      <c r="F42" s="124"/>
      <c r="G42" s="116">
        <f>Tableau134678[[#This Row],[Total TTC]]-Tableau134678[[#This Row],[Total HT]]</f>
        <v>0.51999999999999957</v>
      </c>
      <c r="H42" s="131">
        <v>7</v>
      </c>
      <c r="I42" s="136">
        <f>Tableau134678[[#This Row],[Total TTC]]/100*Tableau134678[[#This Row],[TVA]]</f>
        <v>3.6399999999999974E-2</v>
      </c>
      <c r="J42" s="131" t="s">
        <v>159</v>
      </c>
      <c r="K42" s="112">
        <f>Tableau134678[[#This Row],[Total TTC]]</f>
        <v>7</v>
      </c>
      <c r="L42" s="113">
        <f>Tableau134678[[#This Row],[Total HT]]</f>
        <v>6.48</v>
      </c>
      <c r="M42" s="144">
        <f>Tableau134678[[#This Row],[TVA]]</f>
        <v>0.51999999999999957</v>
      </c>
      <c r="N42" s="114"/>
      <c r="O42" s="28"/>
      <c r="P42" s="58"/>
    </row>
    <row r="43" spans="1:16" s="34" customFormat="1" x14ac:dyDescent="0.25">
      <c r="A43" s="111"/>
      <c r="B43" s="118">
        <v>45590</v>
      </c>
      <c r="C43" s="120" t="s">
        <v>148</v>
      </c>
      <c r="D43" s="121" t="s">
        <v>20</v>
      </c>
      <c r="E43" s="115">
        <v>6.04</v>
      </c>
      <c r="F43" s="124"/>
      <c r="G43" s="116">
        <f>Tableau134678[[#This Row],[Total TTC]]-Tableau134678[[#This Row],[Total HT]]</f>
        <v>0.16000000000000014</v>
      </c>
      <c r="H43" s="131">
        <v>6.2</v>
      </c>
      <c r="I43" s="136">
        <f>Tableau134678[[#This Row],[Total TTC]]/100*Tableau134678[[#This Row],[TVA]]</f>
        <v>9.9200000000000087E-3</v>
      </c>
      <c r="J43" s="131" t="s">
        <v>159</v>
      </c>
      <c r="K43" s="112">
        <f>Tableau134678[[#This Row],[Total TTC]]</f>
        <v>6.2</v>
      </c>
      <c r="L43" s="113">
        <f>Tableau134678[[#This Row],[Total HT]]</f>
        <v>6.04</v>
      </c>
      <c r="M43" s="144">
        <f>Tableau134678[[#This Row],[TVA]]</f>
        <v>0.16000000000000014</v>
      </c>
      <c r="N43" s="114"/>
      <c r="O43" s="28"/>
      <c r="P43" s="58"/>
    </row>
    <row r="44" spans="1:16" s="34" customFormat="1" x14ac:dyDescent="0.25">
      <c r="A44" s="111"/>
      <c r="B44" s="118">
        <v>45590</v>
      </c>
      <c r="C44" s="120" t="s">
        <v>149</v>
      </c>
      <c r="D44" s="121" t="s">
        <v>20</v>
      </c>
      <c r="E44" s="115">
        <v>13.6</v>
      </c>
      <c r="F44" s="124"/>
      <c r="G44" s="116">
        <f>Tableau134678[[#This Row],[Total TTC]]-Tableau134678[[#This Row],[Total HT]]</f>
        <v>1.0999999999999996</v>
      </c>
      <c r="H44" s="131">
        <v>14.7</v>
      </c>
      <c r="I44" s="136">
        <f>Tableau134678[[#This Row],[Total TTC]]/100*Tableau134678[[#This Row],[TVA]]</f>
        <v>0.16169999999999993</v>
      </c>
      <c r="J44" s="131" t="s">
        <v>159</v>
      </c>
      <c r="K44" s="112">
        <f>Tableau134678[[#This Row],[Total TTC]]</f>
        <v>14.7</v>
      </c>
      <c r="L44" s="113">
        <f>Tableau134678[[#This Row],[Total HT]]</f>
        <v>13.6</v>
      </c>
      <c r="M44" s="144">
        <f>Tableau134678[[#This Row],[TVA]]</f>
        <v>1.0999999999999996</v>
      </c>
      <c r="N44" s="114"/>
      <c r="O44" s="28"/>
      <c r="P44" s="58"/>
    </row>
    <row r="45" spans="1:16" x14ac:dyDescent="0.25">
      <c r="B45" s="119">
        <v>45590</v>
      </c>
      <c r="C45" s="82" t="s">
        <v>138</v>
      </c>
      <c r="D45" s="122" t="s">
        <v>139</v>
      </c>
      <c r="E45" s="100">
        <v>729.97</v>
      </c>
      <c r="F45" s="117" t="s">
        <v>157</v>
      </c>
      <c r="G45" s="117">
        <f>Tableau134678[[#This Row],[Total TTC]]-Tableau134678[[#This Row],[Total HT]]</f>
        <v>0</v>
      </c>
      <c r="H45" s="95">
        <v>729.97</v>
      </c>
      <c r="I45" s="137">
        <f>Tableau134678[[#This Row],[Total TTC]]/100*Tableau134678[[#This Row],[TVA]]</f>
        <v>0</v>
      </c>
      <c r="J45" s="131" t="s">
        <v>12</v>
      </c>
      <c r="K45" s="28">
        <f>Tableau134678[[#This Row],[Total TTC]]</f>
        <v>729.97</v>
      </c>
      <c r="L45" s="100">
        <f>Tableau134678[[#This Row],[Total HT]]</f>
        <v>729.97</v>
      </c>
      <c r="M45" s="95">
        <f>Tableau134678[[#This Row],[TVA]]</f>
        <v>0</v>
      </c>
      <c r="N45" s="62"/>
      <c r="O45" s="28">
        <v>728.5</v>
      </c>
      <c r="P45" s="58">
        <f>Tableau134678[[#This Row],[Montant 
Brut CHF]]-Tableau134678[[#This Row],[Dcpte 
Mastercard]]</f>
        <v>1.4700000000000273</v>
      </c>
    </row>
    <row r="46" spans="1:16" x14ac:dyDescent="0.25">
      <c r="B46" s="119">
        <v>45591</v>
      </c>
      <c r="C46" s="82" t="s">
        <v>150</v>
      </c>
      <c r="D46" s="82" t="s">
        <v>19</v>
      </c>
      <c r="E46" s="125">
        <v>130.26</v>
      </c>
      <c r="F46" s="58"/>
      <c r="G46" s="30">
        <f>Tableau134678[[#This Row],[Total TTC]]-Tableau134678[[#This Row],[Total HT]]</f>
        <v>10.550000000000011</v>
      </c>
      <c r="H46" s="41">
        <v>140.81</v>
      </c>
      <c r="I46" s="138">
        <f>Tableau134678[[#This Row],[Total TTC]]/100*Tableau134678[[#This Row],[TVA]]</f>
        <v>14.855455000000017</v>
      </c>
      <c r="J46" s="139" t="s">
        <v>91</v>
      </c>
      <c r="K46" s="28">
        <f>Tableau134678[[#This Row],[Total TTC]]</f>
        <v>140.81</v>
      </c>
      <c r="L46" s="100">
        <f>Tableau134678[[#This Row],[Total HT]]</f>
        <v>130.26</v>
      </c>
      <c r="M46" s="52">
        <f>Tableau134678[[#This Row],[TVA]]</f>
        <v>10.550000000000011</v>
      </c>
      <c r="N46" s="63"/>
      <c r="O46" s="28">
        <v>140.80000000000001</v>
      </c>
      <c r="P46" s="58">
        <f>Tableau134678[[#This Row],[Montant 
Brut CHF]]-Tableau134678[[#This Row],[Dcpte 
Mastercard]]</f>
        <v>9.9999999999909051E-3</v>
      </c>
    </row>
    <row r="47" spans="1:16" x14ac:dyDescent="0.25">
      <c r="B47" s="119">
        <v>45593</v>
      </c>
      <c r="C47" s="82" t="s">
        <v>151</v>
      </c>
      <c r="D47" s="82" t="s">
        <v>139</v>
      </c>
      <c r="E47" s="100">
        <v>23.6</v>
      </c>
      <c r="F47" s="42" t="s">
        <v>158</v>
      </c>
      <c r="G47" s="30">
        <f>Tableau134678[[#This Row],[Total TTC]]-Tableau134678[[#This Row],[Total HT]]</f>
        <v>0</v>
      </c>
      <c r="H47" s="41">
        <v>23.6</v>
      </c>
      <c r="I47" s="138">
        <f>Tableau134678[[#This Row],[Total TTC]]/100*Tableau134678[[#This Row],[TVA]]</f>
        <v>0</v>
      </c>
      <c r="J47" s="131" t="s">
        <v>159</v>
      </c>
      <c r="K47" s="147">
        <f>Tableau134678[[#This Row],[Total TTC]]</f>
        <v>23.6</v>
      </c>
      <c r="L47" s="100">
        <f>Tableau134678[[#This Row],[Total HT]]</f>
        <v>23.6</v>
      </c>
      <c r="M47" s="125">
        <f>Tableau134678[[#This Row],[TVA]]</f>
        <v>0</v>
      </c>
      <c r="N47" s="63"/>
      <c r="O47" s="28"/>
      <c r="P47" s="58"/>
    </row>
    <row r="48" spans="1:16" x14ac:dyDescent="0.25">
      <c r="B48" s="119">
        <v>45593</v>
      </c>
      <c r="C48" s="82" t="s">
        <v>108</v>
      </c>
      <c r="D48" s="82" t="s">
        <v>29</v>
      </c>
      <c r="E48" s="125">
        <v>42.64</v>
      </c>
      <c r="F48" s="58"/>
      <c r="G48" s="30">
        <f>Tableau134678[[#This Row],[Total TTC]]-Tableau134678[[#This Row],[Total HT]]</f>
        <v>1.1099999999999994</v>
      </c>
      <c r="H48" s="41">
        <v>43.75</v>
      </c>
      <c r="I48" s="138">
        <f>Tableau134678[[#This Row],[Total TTC]]/100*Tableau134678[[#This Row],[TVA]]</f>
        <v>0.48562499999999975</v>
      </c>
      <c r="J48" s="131" t="s">
        <v>159</v>
      </c>
      <c r="K48" s="28">
        <f>Tableau134678[[#This Row],[Total TTC]]</f>
        <v>43.75</v>
      </c>
      <c r="L48" s="100">
        <f>Tableau134678[[#This Row],[Total HT]]</f>
        <v>42.64</v>
      </c>
      <c r="M48" s="125">
        <f>Tableau134678[[#This Row],[TVA]]</f>
        <v>1.1099999999999994</v>
      </c>
      <c r="N48" s="63"/>
      <c r="O48" s="28"/>
      <c r="P48" s="58"/>
    </row>
    <row r="49" spans="1:16" x14ac:dyDescent="0.25">
      <c r="B49" s="119">
        <v>45594</v>
      </c>
      <c r="C49" s="82" t="s">
        <v>152</v>
      </c>
      <c r="D49" s="82" t="s">
        <v>19</v>
      </c>
      <c r="E49" s="125">
        <v>626.67999999999995</v>
      </c>
      <c r="F49" s="58"/>
      <c r="G49" s="30">
        <f>Tableau134678[[#This Row],[Total TTC]]-Tableau134678[[#This Row],[Total HT]]</f>
        <v>50.760000000000105</v>
      </c>
      <c r="H49" s="41">
        <v>677.44</v>
      </c>
      <c r="I49" s="138">
        <f>Tableau134678[[#This Row],[Total TTC]]/100*Tableau134678[[#This Row],[TVA]]</f>
        <v>343.86854400000072</v>
      </c>
      <c r="J49" s="139" t="s">
        <v>8</v>
      </c>
      <c r="K49" s="28">
        <f>Tableau134678[[#This Row],[Total TTC]]</f>
        <v>677.44</v>
      </c>
      <c r="L49" s="103">
        <f>Tableau134678[[#This Row],[Total HT]]</f>
        <v>626.67999999999995</v>
      </c>
      <c r="M49" s="125">
        <f>Tableau134678[[#This Row],[TVA]]</f>
        <v>50.760000000000105</v>
      </c>
      <c r="N49" s="63"/>
      <c r="O49" s="28">
        <v>677.45</v>
      </c>
      <c r="P49" s="58">
        <f>Tableau134678[[#This Row],[Montant 
Brut CHF]]-Tableau134678[[#This Row],[Dcpte 
Mastercard]]</f>
        <v>-9.9999999999909051E-3</v>
      </c>
    </row>
    <row r="50" spans="1:16" s="34" customFormat="1" x14ac:dyDescent="0.25">
      <c r="A50" s="126"/>
      <c r="B50" s="126"/>
      <c r="C50" s="127"/>
      <c r="D50" s="127"/>
      <c r="E50" s="45">
        <f>SUM(Tableau134678[Total HT])</f>
        <v>2395.1999999999998</v>
      </c>
      <c r="F50" s="128"/>
      <c r="G50" s="45">
        <f>SUBTOTAL(9,Tableau134678[TVA])</f>
        <v>94.930000000000092</v>
      </c>
      <c r="H50" s="45">
        <f>SUM(Tableau134678[Total TTC])</f>
        <v>2490.13</v>
      </c>
      <c r="I50" s="99"/>
      <c r="J50" s="132"/>
      <c r="K50" s="45">
        <f>SUBTOTAL(9,Tableau134678[Montant 
Brut CHF])</f>
        <v>2490.13</v>
      </c>
      <c r="L50" s="45">
        <f>SUBTOTAL(9,Tableau134678[Montant 
NET CHF])</f>
        <v>2395.1999999999998</v>
      </c>
      <c r="M50" s="45">
        <f>SUBTOTAL(9,Tableau134678[TVA
CHF])</f>
        <v>94.930000000000092</v>
      </c>
      <c r="N50" s="45"/>
      <c r="O50" s="28">
        <f>SUM(Tableau134678[Dcpte 
Mastercard])</f>
        <v>1968.05</v>
      </c>
      <c r="P50" s="34">
        <f>SUM(Tableau134678[Arrondi
Mastercard])</f>
        <v>1.5900000000000354</v>
      </c>
    </row>
    <row r="53" spans="1:16" x14ac:dyDescent="0.25">
      <c r="J53" s="91" t="s">
        <v>8</v>
      </c>
      <c r="K53" s="27">
        <f>SUMIF($J$9:$J$49,J53,$K$9:$K$49)</f>
        <v>677.44</v>
      </c>
      <c r="L53" s="27">
        <f>SUMIF($J$9:$J$49,J53,$L$9:$L$49)</f>
        <v>626.67999999999995</v>
      </c>
      <c r="M53" s="145">
        <f>SUMIF($J$9:$J$49,J53,$M$9:$M$49)</f>
        <v>50.760000000000105</v>
      </c>
      <c r="N53" s="63">
        <f>IF(K53&gt;0,100/L53*M53,"")</f>
        <v>8.0998276632412249</v>
      </c>
    </row>
    <row r="54" spans="1:16" x14ac:dyDescent="0.25">
      <c r="D54" s="26"/>
      <c r="J54" s="93" t="s">
        <v>64</v>
      </c>
      <c r="K54" s="27">
        <f t="shared" ref="K54:K66" si="0">SUMIF($J$9:$J$49,J54,$K$9:$K$49)</f>
        <v>0</v>
      </c>
      <c r="L54" s="27">
        <f t="shared" ref="L54:L66" si="1">SUMIF($J$9:$J$49,J54,$L$9:$L$49)</f>
        <v>0</v>
      </c>
      <c r="M54" s="145">
        <f t="shared" ref="M54:M66" si="2">SUMIF($J$9:$J$49,J54,$M$9:$M$49)</f>
        <v>0</v>
      </c>
      <c r="N54" s="63" t="str">
        <f t="shared" ref="N54:N64" si="3">IF(K54&gt;0,100/L54*M54,"")</f>
        <v/>
      </c>
    </row>
    <row r="55" spans="1:16" x14ac:dyDescent="0.25">
      <c r="J55" s="93" t="s">
        <v>15</v>
      </c>
      <c r="K55" s="27">
        <f t="shared" si="0"/>
        <v>4.2</v>
      </c>
      <c r="L55" s="27">
        <f t="shared" si="1"/>
        <v>4.01</v>
      </c>
      <c r="M55" s="145">
        <f t="shared" si="2"/>
        <v>0.18999999999999995</v>
      </c>
      <c r="N55" s="63">
        <f t="shared" si="3"/>
        <v>4.7381546134663335</v>
      </c>
    </row>
    <row r="56" spans="1:16" x14ac:dyDescent="0.25">
      <c r="J56" s="134" t="s">
        <v>91</v>
      </c>
      <c r="K56" s="27">
        <f t="shared" si="0"/>
        <v>140.81</v>
      </c>
      <c r="L56" s="27">
        <f t="shared" si="1"/>
        <v>130.26</v>
      </c>
      <c r="M56" s="145">
        <f t="shared" si="2"/>
        <v>10.550000000000011</v>
      </c>
      <c r="N56" s="63">
        <f t="shared" si="3"/>
        <v>8.0991862428988277</v>
      </c>
    </row>
    <row r="57" spans="1:16" x14ac:dyDescent="0.25">
      <c r="D57" s="26"/>
      <c r="J57" s="134" t="s">
        <v>6</v>
      </c>
      <c r="K57" s="27">
        <f t="shared" si="0"/>
        <v>0</v>
      </c>
      <c r="L57" s="27">
        <f t="shared" si="1"/>
        <v>0</v>
      </c>
      <c r="M57" s="145">
        <f t="shared" si="2"/>
        <v>0</v>
      </c>
      <c r="N57" s="63" t="str">
        <f t="shared" si="3"/>
        <v/>
      </c>
    </row>
    <row r="58" spans="1:16" x14ac:dyDescent="0.25">
      <c r="D58" s="26"/>
      <c r="J58" s="134" t="s">
        <v>11</v>
      </c>
      <c r="K58" s="27">
        <f t="shared" si="0"/>
        <v>286.60000000000002</v>
      </c>
      <c r="L58" s="27">
        <f t="shared" si="1"/>
        <v>271.14000000000004</v>
      </c>
      <c r="M58" s="145">
        <f t="shared" si="2"/>
        <v>15.45999999999999</v>
      </c>
      <c r="N58" s="63">
        <f t="shared" si="3"/>
        <v>5.7018514420594482</v>
      </c>
    </row>
    <row r="59" spans="1:16" x14ac:dyDescent="0.25">
      <c r="D59" s="26"/>
      <c r="J59" s="134" t="s">
        <v>112</v>
      </c>
      <c r="K59" s="27">
        <f t="shared" si="0"/>
        <v>0</v>
      </c>
      <c r="L59" s="27">
        <f t="shared" si="1"/>
        <v>0</v>
      </c>
      <c r="M59" s="145">
        <f t="shared" si="2"/>
        <v>0</v>
      </c>
      <c r="N59" s="63" t="str">
        <f t="shared" si="3"/>
        <v/>
      </c>
    </row>
    <row r="60" spans="1:16" x14ac:dyDescent="0.25">
      <c r="D60" s="26"/>
      <c r="J60" s="134" t="s">
        <v>12</v>
      </c>
      <c r="K60" s="27">
        <f t="shared" si="0"/>
        <v>863.76</v>
      </c>
      <c r="L60" s="27">
        <f t="shared" si="1"/>
        <v>863.76</v>
      </c>
      <c r="M60" s="145">
        <f t="shared" si="2"/>
        <v>0</v>
      </c>
      <c r="N60" s="63">
        <f t="shared" si="3"/>
        <v>0</v>
      </c>
    </row>
    <row r="61" spans="1:16" x14ac:dyDescent="0.25">
      <c r="D61" s="26"/>
      <c r="J61" s="134" t="s">
        <v>67</v>
      </c>
      <c r="K61" s="27">
        <f t="shared" si="0"/>
        <v>0</v>
      </c>
      <c r="L61" s="27">
        <f t="shared" si="1"/>
        <v>0</v>
      </c>
      <c r="M61" s="145">
        <f t="shared" si="2"/>
        <v>0</v>
      </c>
      <c r="N61" s="63" t="str">
        <f t="shared" si="3"/>
        <v/>
      </c>
    </row>
    <row r="62" spans="1:16" x14ac:dyDescent="0.25">
      <c r="D62" s="26"/>
      <c r="J62" s="134" t="s">
        <v>14</v>
      </c>
      <c r="K62" s="27">
        <f t="shared" si="0"/>
        <v>0</v>
      </c>
      <c r="L62" s="27">
        <f t="shared" si="1"/>
        <v>0</v>
      </c>
      <c r="M62" s="145">
        <f t="shared" si="2"/>
        <v>0</v>
      </c>
      <c r="N62" s="63" t="str">
        <f t="shared" si="3"/>
        <v/>
      </c>
    </row>
    <row r="63" spans="1:16" x14ac:dyDescent="0.25">
      <c r="D63" s="26"/>
      <c r="J63" s="91" t="s">
        <v>60</v>
      </c>
      <c r="K63" s="27">
        <f t="shared" si="0"/>
        <v>0</v>
      </c>
      <c r="L63" s="27">
        <f t="shared" si="1"/>
        <v>0</v>
      </c>
      <c r="M63" s="145">
        <f t="shared" si="2"/>
        <v>0</v>
      </c>
      <c r="N63" s="63" t="str">
        <f t="shared" si="3"/>
        <v/>
      </c>
    </row>
    <row r="64" spans="1:16" x14ac:dyDescent="0.25">
      <c r="J64" s="134" t="s">
        <v>88</v>
      </c>
      <c r="K64" s="27">
        <f t="shared" si="0"/>
        <v>0</v>
      </c>
      <c r="L64" s="27">
        <f t="shared" si="1"/>
        <v>0</v>
      </c>
      <c r="M64" s="145">
        <f t="shared" si="2"/>
        <v>0</v>
      </c>
      <c r="N64" s="63" t="str">
        <f t="shared" si="3"/>
        <v/>
      </c>
    </row>
    <row r="65" spans="4:14" x14ac:dyDescent="0.25">
      <c r="J65" s="134"/>
      <c r="K65" s="27"/>
      <c r="L65" s="27"/>
      <c r="M65" s="145"/>
      <c r="N65" s="63"/>
    </row>
    <row r="66" spans="4:14" x14ac:dyDescent="0.25">
      <c r="J66" s="140" t="s">
        <v>159</v>
      </c>
      <c r="K66" s="141">
        <f>SUMIF($J$9:$J$49,J66,$K$9:$K$49)</f>
        <v>517.31999999999994</v>
      </c>
      <c r="L66" s="141">
        <f t="shared" si="1"/>
        <v>499.35000000000014</v>
      </c>
      <c r="M66" s="146">
        <f t="shared" si="2"/>
        <v>17.969999999999992</v>
      </c>
      <c r="N66" s="63"/>
    </row>
    <row r="67" spans="4:14" x14ac:dyDescent="0.25">
      <c r="J67" s="134" t="s">
        <v>93</v>
      </c>
      <c r="K67" s="27">
        <f>SUMIF($J$9:$J$49,J67,$K$9:$K$49)</f>
        <v>0</v>
      </c>
      <c r="L67" s="27">
        <f>SUMIF($J$9:$J$49,J67,$L$9:$L$49)</f>
        <v>0</v>
      </c>
      <c r="M67" s="145">
        <f>SUMIF($J$9:$J$49,J67,$M$9:$M$49)</f>
        <v>0</v>
      </c>
      <c r="N67" s="80"/>
    </row>
    <row r="68" spans="4:14" x14ac:dyDescent="0.25">
      <c r="D68" s="32"/>
      <c r="K68" s="27"/>
      <c r="L68" s="27"/>
      <c r="M68" s="145"/>
    </row>
    <row r="69" spans="4:14" x14ac:dyDescent="0.25">
      <c r="J69" s="135" t="s">
        <v>7</v>
      </c>
      <c r="K69" s="33">
        <f>SUM(K53:K67)</f>
        <v>2490.13</v>
      </c>
      <c r="L69" s="33">
        <f>SUM(L53:L67)</f>
        <v>2395.1999999999998</v>
      </c>
      <c r="M69" s="145">
        <f>SUM(M53:M67)</f>
        <v>94.930000000000092</v>
      </c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0A77-2E03-48BD-8360-39CE547CE42C}">
  <sheetPr>
    <pageSetUpPr fitToPage="1"/>
  </sheetPr>
  <dimension ref="A1:P45"/>
  <sheetViews>
    <sheetView workbookViewId="0">
      <pane xSplit="3" ySplit="6" topLeftCell="J7" activePane="bottomRight" state="frozen"/>
      <selection pane="topRight" activeCell="D1" sqref="D1"/>
      <selection pane="bottomLeft" activeCell="A6" sqref="A6"/>
      <selection pane="bottomRight" activeCell="C15" sqref="C15"/>
    </sheetView>
  </sheetViews>
  <sheetFormatPr baseColWidth="10" defaultRowHeight="15" outlineLevelCol="1" x14ac:dyDescent="0.25"/>
  <cols>
    <col min="1" max="1" width="3.85546875" style="25" customWidth="1"/>
    <col min="2" max="2" width="13.7109375" style="25" customWidth="1"/>
    <col min="3" max="3" width="41.85546875" customWidth="1"/>
    <col min="4" max="4" width="15" hidden="1" customWidth="1" outlineLevel="1"/>
    <col min="5" max="5" width="11" style="82" hidden="1" customWidth="1" outlineLevel="1"/>
    <col min="6" max="6" width="7.5703125" style="75" hidden="1" customWidth="1" outlineLevel="1"/>
    <col min="7" max="7" width="10" hidden="1" customWidth="1" outlineLevel="1"/>
    <col min="8" max="8" width="12.42578125" style="129" hidden="1" customWidth="1" outlineLevel="1"/>
    <col min="9" max="9" width="8.28515625" style="97" hidden="1" customWidth="1" outlineLevel="1"/>
    <col min="10" max="10" width="21.7109375" style="93" customWidth="1" collapsed="1"/>
    <col min="11" max="11" width="14.140625" style="34" customWidth="1"/>
    <col min="12" max="12" width="12.28515625" customWidth="1"/>
    <col min="13" max="13" width="11.42578125" style="49" customWidth="1"/>
    <col min="14" max="14" width="9.85546875" style="61" hidden="1" customWidth="1"/>
    <col min="16" max="16" width="11.42578125" style="75"/>
  </cols>
  <sheetData>
    <row r="1" spans="1:16" x14ac:dyDescent="0.25">
      <c r="A1" s="25" t="s">
        <v>21</v>
      </c>
    </row>
    <row r="2" spans="1:16" s="34" customFormat="1" x14ac:dyDescent="0.25">
      <c r="A2" s="35" t="s">
        <v>164</v>
      </c>
      <c r="B2" s="35"/>
      <c r="F2" s="148"/>
      <c r="H2" s="129"/>
      <c r="I2" s="150"/>
      <c r="J2" s="129"/>
      <c r="M2" s="142"/>
      <c r="N2" s="151"/>
      <c r="P2" s="148"/>
    </row>
    <row r="3" spans="1:16" x14ac:dyDescent="0.25">
      <c r="A3" s="25" t="s">
        <v>123</v>
      </c>
      <c r="C3" s="106">
        <v>1968.05</v>
      </c>
    </row>
    <row r="4" spans="1:16" x14ac:dyDescent="0.25">
      <c r="A4" s="25" t="s">
        <v>165</v>
      </c>
      <c r="C4" s="106">
        <v>1.59</v>
      </c>
    </row>
    <row r="5" spans="1:16" x14ac:dyDescent="0.25">
      <c r="C5" s="106"/>
    </row>
    <row r="6" spans="1:16" s="34" customFormat="1" ht="36.75" x14ac:dyDescent="0.25">
      <c r="A6" s="65" t="s">
        <v>23</v>
      </c>
      <c r="B6" s="65" t="s">
        <v>24</v>
      </c>
      <c r="C6" s="66" t="s">
        <v>25</v>
      </c>
      <c r="D6" s="67" t="s">
        <v>75</v>
      </c>
      <c r="E6" s="68" t="s">
        <v>26</v>
      </c>
      <c r="F6" s="123" t="s">
        <v>153</v>
      </c>
      <c r="G6" s="68" t="s">
        <v>95</v>
      </c>
      <c r="H6" s="130" t="s">
        <v>86</v>
      </c>
      <c r="I6" s="98" t="s">
        <v>94</v>
      </c>
      <c r="J6" s="133" t="s">
        <v>73</v>
      </c>
      <c r="K6" s="72" t="s">
        <v>161</v>
      </c>
      <c r="L6" s="72" t="s">
        <v>162</v>
      </c>
      <c r="M6" s="143" t="s">
        <v>116</v>
      </c>
      <c r="N6" s="81" t="s">
        <v>59</v>
      </c>
      <c r="O6" s="107" t="s">
        <v>160</v>
      </c>
      <c r="P6" s="149" t="s">
        <v>163</v>
      </c>
    </row>
    <row r="7" spans="1:16" s="34" customFormat="1" x14ac:dyDescent="0.25">
      <c r="A7" s="111"/>
      <c r="B7" s="118">
        <v>45573</v>
      </c>
      <c r="C7" s="120" t="s">
        <v>51</v>
      </c>
      <c r="D7" s="121" t="s">
        <v>19</v>
      </c>
      <c r="E7" s="115">
        <v>0.93</v>
      </c>
      <c r="F7" s="124"/>
      <c r="G7" s="116">
        <f>Tableau1346789[[#This Row],[Total TTC]]-Tableau1346789[[#This Row],[Total HT]]</f>
        <v>6.9999999999999951E-2</v>
      </c>
      <c r="H7" s="131">
        <v>1</v>
      </c>
      <c r="I7" s="136">
        <f>Tableau1346789[[#This Row],[Total TTC]]/100*Tableau1346789[[#This Row],[TVA]]</f>
        <v>6.9999999999999956E-4</v>
      </c>
      <c r="J7" s="131" t="s">
        <v>11</v>
      </c>
      <c r="K7" s="112">
        <f>Tableau1346789[[#This Row],[Total TTC]]</f>
        <v>1</v>
      </c>
      <c r="L7" s="113">
        <f>Tableau1346789[[#This Row],[Total HT]]</f>
        <v>0.93</v>
      </c>
      <c r="M7" s="144">
        <f>Tableau1346789[[#This Row],[TVA]]</f>
        <v>6.9999999999999951E-2</v>
      </c>
      <c r="N7" s="114"/>
      <c r="O7" s="28">
        <f>Tableau1346789[[#This Row],[Montant 
Brut CHF]]</f>
        <v>1</v>
      </c>
      <c r="P7" s="58">
        <f>Tableau1346789[[#This Row],[Montant 
Brut CHF]]-Tableau1346789[[#This Row],[Dcpte 
Mastercard]]</f>
        <v>0</v>
      </c>
    </row>
    <row r="8" spans="1:16" s="34" customFormat="1" x14ac:dyDescent="0.25">
      <c r="A8" s="111"/>
      <c r="B8" s="118">
        <v>45581</v>
      </c>
      <c r="C8" s="120" t="s">
        <v>132</v>
      </c>
      <c r="D8" s="121" t="s">
        <v>19</v>
      </c>
      <c r="E8" s="115">
        <v>1.7</v>
      </c>
      <c r="F8" s="124"/>
      <c r="G8" s="116">
        <f>Tableau1346789[[#This Row],[Total TTC]]-Tableau1346789[[#This Row],[Total HT]]</f>
        <v>0</v>
      </c>
      <c r="H8" s="131">
        <v>1.7</v>
      </c>
      <c r="I8" s="136">
        <f>Tableau1346789[[#This Row],[Total TTC]]/100*Tableau1346789[[#This Row],[TVA]]</f>
        <v>0</v>
      </c>
      <c r="J8" s="131" t="s">
        <v>15</v>
      </c>
      <c r="K8" s="112">
        <f>Tableau1346789[[#This Row],[Total TTC]]</f>
        <v>1.7</v>
      </c>
      <c r="L8" s="113">
        <f>Tableau1346789[[#This Row],[Total HT]]</f>
        <v>1.7</v>
      </c>
      <c r="M8" s="144">
        <f>Tableau1346789[[#This Row],[TVA]]</f>
        <v>0</v>
      </c>
      <c r="N8" s="114"/>
      <c r="O8" s="28">
        <f>Tableau1346789[[#This Row],[Montant 
Brut CHF]]</f>
        <v>1.7</v>
      </c>
      <c r="P8" s="58">
        <f>Tableau1346789[[#This Row],[Montant 
Brut CHF]]-Tableau1346789[[#This Row],[Dcpte 
Mastercard]]</f>
        <v>0</v>
      </c>
    </row>
    <row r="9" spans="1:16" s="34" customFormat="1" x14ac:dyDescent="0.25">
      <c r="A9" s="111"/>
      <c r="B9" s="118">
        <v>45581</v>
      </c>
      <c r="C9" s="120" t="s">
        <v>133</v>
      </c>
      <c r="D9" s="121" t="s">
        <v>20</v>
      </c>
      <c r="E9" s="115">
        <v>6.8</v>
      </c>
      <c r="F9" s="124"/>
      <c r="G9" s="116">
        <f>Tableau1346789[[#This Row],[Total TTC]]-Tableau1346789[[#This Row],[Total HT]]</f>
        <v>0.5</v>
      </c>
      <c r="H9" s="131">
        <v>7.3</v>
      </c>
      <c r="I9" s="136">
        <f>Tableau1346789[[#This Row],[Total TTC]]/100*Tableau1346789[[#This Row],[TVA]]</f>
        <v>3.6499999999999998E-2</v>
      </c>
      <c r="J9" s="131" t="s">
        <v>11</v>
      </c>
      <c r="K9" s="112">
        <f>Tableau1346789[[#This Row],[Total TTC]]</f>
        <v>7.3</v>
      </c>
      <c r="L9" s="113">
        <f>Tableau1346789[[#This Row],[Total HT]]</f>
        <v>6.8</v>
      </c>
      <c r="M9" s="144">
        <f>Tableau1346789[[#This Row],[TVA]]</f>
        <v>0.5</v>
      </c>
      <c r="N9" s="114"/>
      <c r="O9" s="28">
        <f>Tableau1346789[[#This Row],[Montant 
Brut CHF]]</f>
        <v>7.3</v>
      </c>
      <c r="P9" s="58">
        <f>Tableau1346789[[#This Row],[Montant 
Brut CHF]]-Tableau1346789[[#This Row],[Dcpte 
Mastercard]]</f>
        <v>0</v>
      </c>
    </row>
    <row r="10" spans="1:16" s="34" customFormat="1" x14ac:dyDescent="0.25">
      <c r="A10" s="111"/>
      <c r="B10" s="118">
        <v>45588</v>
      </c>
      <c r="C10" s="120" t="s">
        <v>144</v>
      </c>
      <c r="D10" s="121" t="s">
        <v>29</v>
      </c>
      <c r="E10" s="115">
        <v>9.25</v>
      </c>
      <c r="F10" s="124"/>
      <c r="G10" s="116">
        <f>Tableau1346789[[#This Row],[Total TTC]]-Tableau1346789[[#This Row],[Total HT]]</f>
        <v>0.75</v>
      </c>
      <c r="H10" s="131">
        <v>10</v>
      </c>
      <c r="I10" s="136">
        <f>Tableau1346789[[#This Row],[Total TTC]]/100*Tableau1346789[[#This Row],[TVA]]</f>
        <v>7.5000000000000011E-2</v>
      </c>
      <c r="J10" s="124" t="s">
        <v>60</v>
      </c>
      <c r="K10" s="112">
        <f>Tableau1346789[[#This Row],[Total TTC]]</f>
        <v>10</v>
      </c>
      <c r="L10" s="113">
        <f>Tableau1346789[[#This Row],[Total HT]]</f>
        <v>9.25</v>
      </c>
      <c r="M10" s="144">
        <f>Tableau1346789[[#This Row],[TVA]]</f>
        <v>0.75</v>
      </c>
      <c r="N10" s="114"/>
      <c r="O10" s="28">
        <v>10</v>
      </c>
      <c r="P10" s="58">
        <f>Tableau1346789[[#This Row],[Montant 
Brut CHF]]-Tableau1346789[[#This Row],[Dcpte 
Mastercard]]</f>
        <v>0</v>
      </c>
    </row>
    <row r="11" spans="1:16" s="34" customFormat="1" x14ac:dyDescent="0.25">
      <c r="A11" s="111"/>
      <c r="B11" s="118">
        <v>45587</v>
      </c>
      <c r="C11" s="120" t="s">
        <v>140</v>
      </c>
      <c r="D11" s="121" t="s">
        <v>20</v>
      </c>
      <c r="E11" s="115">
        <v>14.41</v>
      </c>
      <c r="F11" s="124">
        <v>-14.9</v>
      </c>
      <c r="G11" s="116">
        <f>Tableau1346789[[#This Row],[Total TTC]]-Tableau1346789[[#This Row],[Total HT]]</f>
        <v>0</v>
      </c>
      <c r="H11" s="131">
        <v>14.41</v>
      </c>
      <c r="I11" s="136">
        <f>Tableau1346789[[#This Row],[Total TTC]]/100*Tableau1346789[[#This Row],[TVA]]</f>
        <v>0</v>
      </c>
      <c r="J11" s="131" t="s">
        <v>12</v>
      </c>
      <c r="K11" s="112">
        <f>Tableau1346789[[#This Row],[Total TTC]]</f>
        <v>14.41</v>
      </c>
      <c r="L11" s="113">
        <f>Tableau1346789[[#This Row],[Total HT]]</f>
        <v>14.41</v>
      </c>
      <c r="M11" s="144">
        <f>Tableau1346789[[#This Row],[TVA]]</f>
        <v>0</v>
      </c>
      <c r="N11" s="114"/>
      <c r="O11" s="28">
        <v>14.45</v>
      </c>
      <c r="P11" s="58">
        <f>Tableau1346789[[#This Row],[Montant 
Brut CHF]]-Tableau1346789[[#This Row],[Dcpte 
Mastercard]]</f>
        <v>-3.9999999999999147E-2</v>
      </c>
    </row>
    <row r="12" spans="1:16" s="34" customFormat="1" x14ac:dyDescent="0.25">
      <c r="A12" s="111"/>
      <c r="B12" s="118">
        <v>45588</v>
      </c>
      <c r="C12" s="120" t="s">
        <v>143</v>
      </c>
      <c r="D12" s="121" t="s">
        <v>20</v>
      </c>
      <c r="E12" s="115">
        <v>14.89</v>
      </c>
      <c r="F12" s="124">
        <v>-15.4</v>
      </c>
      <c r="G12" s="116">
        <f>Tableau1346789[[#This Row],[Total TTC]]-Tableau1346789[[#This Row],[Total HT]]</f>
        <v>0</v>
      </c>
      <c r="H12" s="131">
        <v>14.89</v>
      </c>
      <c r="I12" s="136">
        <f>Tableau1346789[[#This Row],[Total TTC]]/100*Tableau1346789[[#This Row],[TVA]]</f>
        <v>0</v>
      </c>
      <c r="J12" s="131" t="s">
        <v>12</v>
      </c>
      <c r="K12" s="112">
        <f>Tableau1346789[[#This Row],[Total TTC]]</f>
        <v>14.89</v>
      </c>
      <c r="L12" s="113">
        <f>Tableau1346789[[#This Row],[Total HT]]</f>
        <v>14.89</v>
      </c>
      <c r="M12" s="144">
        <f>Tableau1346789[[#This Row],[TVA]]</f>
        <v>0</v>
      </c>
      <c r="N12" s="114"/>
      <c r="O12" s="28">
        <v>14.85</v>
      </c>
      <c r="P12" s="58">
        <f>Tableau1346789[[#This Row],[Montant 
Brut CHF]]-Tableau1346789[[#This Row],[Dcpte 
Mastercard]]</f>
        <v>4.0000000000000924E-2</v>
      </c>
    </row>
    <row r="13" spans="1:16" s="34" customFormat="1" x14ac:dyDescent="0.25">
      <c r="A13" s="111"/>
      <c r="B13" s="118">
        <v>45588</v>
      </c>
      <c r="C13" s="120" t="s">
        <v>141</v>
      </c>
      <c r="D13" s="121" t="s">
        <v>142</v>
      </c>
      <c r="E13" s="115">
        <v>15.42</v>
      </c>
      <c r="F13" s="124">
        <v>-15.94</v>
      </c>
      <c r="G13" s="116">
        <f>Tableau1346789[[#This Row],[Total TTC]]-Tableau1346789[[#This Row],[Total HT]]</f>
        <v>0</v>
      </c>
      <c r="H13" s="131">
        <v>15.42</v>
      </c>
      <c r="I13" s="136">
        <f>Tableau1346789[[#This Row],[Total TTC]]/100*Tableau1346789[[#This Row],[TVA]]</f>
        <v>0</v>
      </c>
      <c r="J13" s="131" t="s">
        <v>12</v>
      </c>
      <c r="K13" s="112">
        <f>Tableau1346789[[#This Row],[Total TTC]]</f>
        <v>15.42</v>
      </c>
      <c r="L13" s="113">
        <f>Tableau1346789[[#This Row],[Total HT]]</f>
        <v>15.42</v>
      </c>
      <c r="M13" s="144">
        <f>Tableau1346789[[#This Row],[TVA]]</f>
        <v>0</v>
      </c>
      <c r="N13" s="114"/>
      <c r="O13" s="28">
        <v>15.45</v>
      </c>
      <c r="P13" s="58">
        <f>Tableau1346789[[#This Row],[Montant 
Brut CHF]]-Tableau1346789[[#This Row],[Dcpte 
Mastercard]]</f>
        <v>-2.9999999999999361E-2</v>
      </c>
    </row>
    <row r="14" spans="1:16" s="34" customFormat="1" x14ac:dyDescent="0.25">
      <c r="A14" s="111"/>
      <c r="B14" s="118">
        <v>45589</v>
      </c>
      <c r="C14" s="120" t="s">
        <v>145</v>
      </c>
      <c r="D14" s="121" t="s">
        <v>20</v>
      </c>
      <c r="E14" s="115">
        <v>20.27</v>
      </c>
      <c r="F14" s="124">
        <v>-20.9</v>
      </c>
      <c r="G14" s="116">
        <f>Tableau1346789[[#This Row],[Total TTC]]-Tableau1346789[[#This Row],[Total HT]]</f>
        <v>0</v>
      </c>
      <c r="H14" s="131">
        <v>20.27</v>
      </c>
      <c r="I14" s="136">
        <f>Tableau1346789[[#This Row],[Total TTC]]/100*Tableau1346789[[#This Row],[TVA]]</f>
        <v>0</v>
      </c>
      <c r="J14" s="131" t="s">
        <v>12</v>
      </c>
      <c r="K14" s="112">
        <f>Tableau1346789[[#This Row],[Total TTC]]</f>
        <v>20.27</v>
      </c>
      <c r="L14" s="113">
        <f>Tableau1346789[[#This Row],[Total HT]]</f>
        <v>20.27</v>
      </c>
      <c r="M14" s="144">
        <f>Tableau1346789[[#This Row],[TVA]]</f>
        <v>0</v>
      </c>
      <c r="N14" s="114"/>
      <c r="O14" s="28">
        <v>20.2</v>
      </c>
      <c r="P14" s="58">
        <f>Tableau1346789[[#This Row],[Montant 
Brut CHF]]-Tableau1346789[[#This Row],[Dcpte 
Mastercard]]</f>
        <v>7.0000000000000284E-2</v>
      </c>
    </row>
    <row r="15" spans="1:16" s="34" customFormat="1" x14ac:dyDescent="0.25">
      <c r="A15" s="111"/>
      <c r="B15" s="118">
        <v>45581</v>
      </c>
      <c r="C15" s="120" t="s">
        <v>134</v>
      </c>
      <c r="D15" s="121" t="s">
        <v>20</v>
      </c>
      <c r="E15" s="115">
        <v>20.47</v>
      </c>
      <c r="F15" s="124"/>
      <c r="G15" s="116">
        <f>Tableau1346789[[#This Row],[Total TTC]]-Tableau1346789[[#This Row],[Total HT]]</f>
        <v>0.53000000000000114</v>
      </c>
      <c r="H15" s="131">
        <v>21</v>
      </c>
      <c r="I15" s="136">
        <f>Tableau1346789[[#This Row],[Total TTC]]/100*Tableau1346789[[#This Row],[TVA]]</f>
        <v>0.11130000000000023</v>
      </c>
      <c r="J15" s="131" t="s">
        <v>11</v>
      </c>
      <c r="K15" s="112">
        <f>Tableau1346789[[#This Row],[Total TTC]]</f>
        <v>21</v>
      </c>
      <c r="L15" s="113">
        <f>Tableau1346789[[#This Row],[Total HT]]</f>
        <v>20.47</v>
      </c>
      <c r="M15" s="144">
        <f>Tableau1346789[[#This Row],[TVA]]</f>
        <v>0.53000000000000114</v>
      </c>
      <c r="N15" s="114"/>
      <c r="O15" s="28">
        <v>21</v>
      </c>
      <c r="P15" s="58">
        <f>Tableau1346789[[#This Row],[Montant 
Brut CHF]]-Tableau1346789[[#This Row],[Dcpte 
Mastercard]]</f>
        <v>0</v>
      </c>
    </row>
    <row r="16" spans="1:16" s="34" customFormat="1" x14ac:dyDescent="0.25">
      <c r="A16" s="111"/>
      <c r="B16" s="118">
        <v>45576</v>
      </c>
      <c r="C16" s="120" t="s">
        <v>51</v>
      </c>
      <c r="D16" s="121" t="s">
        <v>20</v>
      </c>
      <c r="E16" s="115">
        <v>22.86</v>
      </c>
      <c r="F16" s="124"/>
      <c r="G16" s="116">
        <f>Tableau1346789[[#This Row],[Total TTC]]-Tableau1346789[[#This Row],[Total HT]]</f>
        <v>0.64000000000000057</v>
      </c>
      <c r="H16" s="131">
        <v>23.5</v>
      </c>
      <c r="I16" s="136">
        <f>Tableau1346789[[#This Row],[Total TTC]]/100*Tableau1346789[[#This Row],[TVA]]</f>
        <v>0.15040000000000012</v>
      </c>
      <c r="J16" s="131" t="s">
        <v>11</v>
      </c>
      <c r="K16" s="112">
        <f>Tableau1346789[[#This Row],[Total TTC]]</f>
        <v>23.5</v>
      </c>
      <c r="L16" s="113">
        <f>Tableau1346789[[#This Row],[Total HT]]</f>
        <v>22.86</v>
      </c>
      <c r="M16" s="144">
        <f>Tableau1346789[[#This Row],[TVA]]</f>
        <v>0.64000000000000057</v>
      </c>
      <c r="N16" s="114"/>
      <c r="O16" s="28">
        <f>Tableau1346789[[#This Row],[Montant 
Brut CHF]]</f>
        <v>23.5</v>
      </c>
      <c r="P16" s="58">
        <f>Tableau1346789[[#This Row],[Montant 
Brut CHF]]-Tableau1346789[[#This Row],[Dcpte 
Mastercard]]</f>
        <v>0</v>
      </c>
    </row>
    <row r="17" spans="1:16" s="34" customFormat="1" x14ac:dyDescent="0.25">
      <c r="A17" s="111"/>
      <c r="B17" s="118">
        <v>45587</v>
      </c>
      <c r="C17" s="120" t="s">
        <v>137</v>
      </c>
      <c r="D17" s="121" t="s">
        <v>20</v>
      </c>
      <c r="E17" s="115">
        <v>24.18</v>
      </c>
      <c r="F17" s="124">
        <v>-25</v>
      </c>
      <c r="G17" s="116">
        <f>Tableau1346789[[#This Row],[Total TTC]]-Tableau1346789[[#This Row],[Total HT]]</f>
        <v>0</v>
      </c>
      <c r="H17" s="131">
        <v>24.18</v>
      </c>
      <c r="I17" s="136">
        <f>Tableau1346789[[#This Row],[Total TTC]]/100*Tableau1346789[[#This Row],[TVA]]</f>
        <v>0</v>
      </c>
      <c r="J17" s="131" t="s">
        <v>12</v>
      </c>
      <c r="K17" s="112">
        <f>Tableau1346789[[#This Row],[Total TTC]]</f>
        <v>24.18</v>
      </c>
      <c r="L17" s="113">
        <f>Tableau1346789[[#This Row],[Total HT]]</f>
        <v>24.18</v>
      </c>
      <c r="M17" s="144">
        <f>Tableau1346789[[#This Row],[TVA]]</f>
        <v>0</v>
      </c>
      <c r="N17" s="114"/>
      <c r="O17" s="28">
        <v>24.25</v>
      </c>
      <c r="P17" s="58">
        <f>Tableau1346789[[#This Row],[Montant 
Brut CHF]]-Tableau1346789[[#This Row],[Dcpte 
Mastercard]]</f>
        <v>-7.0000000000000284E-2</v>
      </c>
    </row>
    <row r="18" spans="1:16" s="34" customFormat="1" x14ac:dyDescent="0.25">
      <c r="A18" s="111"/>
      <c r="B18" s="118">
        <v>45569</v>
      </c>
      <c r="C18" s="120" t="s">
        <v>108</v>
      </c>
      <c r="D18" s="121" t="s">
        <v>20</v>
      </c>
      <c r="E18" s="115">
        <v>23.85</v>
      </c>
      <c r="F18" s="124"/>
      <c r="G18" s="116">
        <f>Tableau1346789[[#This Row],[Total TTC]]-Tableau1346789[[#This Row],[Total HT]]</f>
        <v>2.5999999999999979</v>
      </c>
      <c r="H18" s="131">
        <v>26.45</v>
      </c>
      <c r="I18" s="136">
        <f>Tableau1346789[[#This Row],[Total TTC]]/100*Tableau1346789[[#This Row],[TVA]]</f>
        <v>0.68769999999999942</v>
      </c>
      <c r="J18" s="131" t="s">
        <v>11</v>
      </c>
      <c r="K18" s="112">
        <f>Tableau1346789[[#This Row],[Total TTC]]</f>
        <v>26.45</v>
      </c>
      <c r="L18" s="113">
        <f>Tableau1346789[[#This Row],[Total HT]]</f>
        <v>23.85</v>
      </c>
      <c r="M18" s="144">
        <f>Tableau1346789[[#This Row],[TVA]]</f>
        <v>2.5999999999999979</v>
      </c>
      <c r="N18" s="114"/>
      <c r="O18" s="28">
        <v>26.45</v>
      </c>
      <c r="P18" s="58">
        <f>Tableau1346789[[#This Row],[Montant 
Brut CHF]]-Tableau1346789[[#This Row],[Dcpte 
Mastercard]]</f>
        <v>0</v>
      </c>
    </row>
    <row r="19" spans="1:16" s="34" customFormat="1" x14ac:dyDescent="0.25">
      <c r="A19" s="111"/>
      <c r="B19" s="118">
        <v>45589</v>
      </c>
      <c r="C19" s="120" t="s">
        <v>146</v>
      </c>
      <c r="D19" s="121" t="s">
        <v>20</v>
      </c>
      <c r="E19" s="100">
        <v>33.950000000000003</v>
      </c>
      <c r="F19" s="124" t="s">
        <v>155</v>
      </c>
      <c r="G19" s="116">
        <f>Tableau1346789[[#This Row],[Total TTC]]-Tableau1346789[[#This Row],[Total HT]]</f>
        <v>0</v>
      </c>
      <c r="H19" s="95">
        <v>33.950000000000003</v>
      </c>
      <c r="I19" s="136">
        <f>Tableau1346789[[#This Row],[Total TTC]]/100*Tableau1346789[[#This Row],[TVA]]</f>
        <v>0</v>
      </c>
      <c r="J19" s="131" t="s">
        <v>12</v>
      </c>
      <c r="K19" s="112">
        <f>Tableau1346789[[#This Row],[Total TTC]]</f>
        <v>33.950000000000003</v>
      </c>
      <c r="L19" s="113">
        <f>Tableau1346789[[#This Row],[Total HT]]</f>
        <v>33.950000000000003</v>
      </c>
      <c r="M19" s="144">
        <f>Tableau1346789[[#This Row],[TVA]]</f>
        <v>0</v>
      </c>
      <c r="N19" s="114"/>
      <c r="O19" s="28">
        <v>33.799999999999997</v>
      </c>
      <c r="P19" s="58">
        <f>Tableau1346789[[#This Row],[Montant 
Brut CHF]]-Tableau1346789[[#This Row],[Dcpte 
Mastercard]]</f>
        <v>0.15000000000000568</v>
      </c>
    </row>
    <row r="20" spans="1:16" s="34" customFormat="1" x14ac:dyDescent="0.25">
      <c r="A20" s="111"/>
      <c r="B20" s="118">
        <v>45573</v>
      </c>
      <c r="C20" s="120" t="s">
        <v>51</v>
      </c>
      <c r="D20" s="121" t="s">
        <v>20</v>
      </c>
      <c r="E20" s="115">
        <v>40.700000000000003</v>
      </c>
      <c r="F20" s="124"/>
      <c r="G20" s="116">
        <f>Tableau1346789[[#This Row],[Total TTC]]-Tableau1346789[[#This Row],[Total HT]]</f>
        <v>3.2999999999999972</v>
      </c>
      <c r="H20" s="131">
        <v>44</v>
      </c>
      <c r="I20" s="136">
        <f>Tableau1346789[[#This Row],[Total TTC]]/100*Tableau1346789[[#This Row],[TVA]]</f>
        <v>1.4519999999999988</v>
      </c>
      <c r="J20" s="131" t="s">
        <v>11</v>
      </c>
      <c r="K20" s="112">
        <f>Tableau1346789[[#This Row],[Total TTC]]</f>
        <v>44</v>
      </c>
      <c r="L20" s="113">
        <f>Tableau1346789[[#This Row],[Total HT]]</f>
        <v>40.700000000000003</v>
      </c>
      <c r="M20" s="144">
        <f>Tableau1346789[[#This Row],[TVA]]</f>
        <v>3.2999999999999972</v>
      </c>
      <c r="N20" s="114"/>
      <c r="O20" s="28">
        <f>Tableau1346789[[#This Row],[Montant 
Brut CHF]]</f>
        <v>44</v>
      </c>
      <c r="P20" s="58">
        <f>Tableau1346789[[#This Row],[Montant 
Brut CHF]]-Tableau1346789[[#This Row],[Dcpte 
Mastercard]]</f>
        <v>0</v>
      </c>
    </row>
    <row r="21" spans="1:16" s="34" customFormat="1" x14ac:dyDescent="0.25">
      <c r="A21" s="111"/>
      <c r="B21" s="118">
        <v>45578</v>
      </c>
      <c r="C21" s="120" t="s">
        <v>130</v>
      </c>
      <c r="D21" s="121" t="s">
        <v>29</v>
      </c>
      <c r="E21" s="115">
        <v>53.35</v>
      </c>
      <c r="F21" s="124"/>
      <c r="G21" s="116">
        <f>Tableau1346789[[#This Row],[Total TTC]]-Tableau1346789[[#This Row],[Total HT]]</f>
        <v>0</v>
      </c>
      <c r="H21" s="131">
        <v>53.35</v>
      </c>
      <c r="I21" s="136">
        <f>Tableau1346789[[#This Row],[Total TTC]]/100*Tableau1346789[[#This Row],[TVA]]</f>
        <v>0</v>
      </c>
      <c r="J21" s="124" t="s">
        <v>11</v>
      </c>
      <c r="K21" s="112">
        <f>Tableau1346789[[#This Row],[Total TTC]]</f>
        <v>53.35</v>
      </c>
      <c r="L21" s="113">
        <f>Tableau1346789[[#This Row],[Total HT]]</f>
        <v>53.35</v>
      </c>
      <c r="M21" s="144">
        <f>Tableau1346789[[#This Row],[TVA]]</f>
        <v>0</v>
      </c>
      <c r="N21" s="114"/>
      <c r="O21" s="28">
        <f>Tableau1346789[[#This Row],[Montant 
Brut CHF]]</f>
        <v>53.35</v>
      </c>
      <c r="P21" s="58">
        <f>Tableau1346789[[#This Row],[Montant 
Brut CHF]]-Tableau1346789[[#This Row],[Dcpte 
Mastercard]]</f>
        <v>0</v>
      </c>
    </row>
    <row r="22" spans="1:16" s="34" customFormat="1" x14ac:dyDescent="0.25">
      <c r="A22" s="111"/>
      <c r="B22" s="118">
        <v>45569</v>
      </c>
      <c r="C22" s="120" t="s">
        <v>101</v>
      </c>
      <c r="D22" s="121" t="s">
        <v>20</v>
      </c>
      <c r="E22" s="115">
        <v>102.18</v>
      </c>
      <c r="F22" s="124"/>
      <c r="G22" s="116">
        <f>Tableau1346789[[#This Row],[Total TTC]]-Tableau1346789[[#This Row],[Total HT]]</f>
        <v>7.8199999999999932</v>
      </c>
      <c r="H22" s="131">
        <v>110</v>
      </c>
      <c r="I22" s="136">
        <f>Tableau1346789[[#This Row],[Total TTC]]/100*Tableau1346789[[#This Row],[TVA]]</f>
        <v>8.6019999999999932</v>
      </c>
      <c r="J22" s="131" t="s">
        <v>11</v>
      </c>
      <c r="K22" s="112">
        <f>Tableau1346789[[#This Row],[Total TTC]]</f>
        <v>110</v>
      </c>
      <c r="L22" s="113">
        <f>Tableau1346789[[#This Row],[Total HT]]</f>
        <v>102.18</v>
      </c>
      <c r="M22" s="144">
        <f>Tableau1346789[[#This Row],[TVA]]</f>
        <v>7.8199999999999932</v>
      </c>
      <c r="N22" s="114"/>
      <c r="O22" s="28">
        <f>Tableau1346789[[#This Row],[Montant 
Brut CHF]]</f>
        <v>110</v>
      </c>
      <c r="P22" s="58">
        <f>Tableau1346789[[#This Row],[Montant 
Brut CHF]]-Tableau1346789[[#This Row],[Dcpte 
Mastercard]]</f>
        <v>0</v>
      </c>
    </row>
    <row r="23" spans="1:16" s="34" customFormat="1" x14ac:dyDescent="0.25">
      <c r="A23" s="25"/>
      <c r="B23" s="119">
        <v>45591</v>
      </c>
      <c r="C23" s="82" t="s">
        <v>150</v>
      </c>
      <c r="D23" s="82" t="s">
        <v>19</v>
      </c>
      <c r="E23" s="125">
        <v>130.26</v>
      </c>
      <c r="F23" s="58"/>
      <c r="G23" s="30">
        <f>Tableau1346789[[#This Row],[Total TTC]]-Tableau1346789[[#This Row],[Total HT]]</f>
        <v>10.550000000000011</v>
      </c>
      <c r="H23" s="41">
        <v>140.81</v>
      </c>
      <c r="I23" s="138">
        <f>Tableau1346789[[#This Row],[Total TTC]]/100*Tableau1346789[[#This Row],[TVA]]</f>
        <v>14.855455000000017</v>
      </c>
      <c r="J23" s="139" t="s">
        <v>91</v>
      </c>
      <c r="K23" s="28">
        <f>Tableau1346789[[#This Row],[Total TTC]]</f>
        <v>140.81</v>
      </c>
      <c r="L23" s="100">
        <f>Tableau1346789[[#This Row],[Total HT]]</f>
        <v>130.26</v>
      </c>
      <c r="M23" s="52">
        <f>Tableau1346789[[#This Row],[TVA]]</f>
        <v>10.550000000000011</v>
      </c>
      <c r="N23" s="63"/>
      <c r="O23" s="28">
        <v>140.80000000000001</v>
      </c>
      <c r="P23" s="58">
        <f>Tableau1346789[[#This Row],[Montant 
Brut CHF]]-Tableau1346789[[#This Row],[Dcpte 
Mastercard]]</f>
        <v>9.9999999999909051E-3</v>
      </c>
    </row>
    <row r="24" spans="1:16" s="34" customFormat="1" x14ac:dyDescent="0.25">
      <c r="A24" s="25"/>
      <c r="B24" s="119">
        <v>45594</v>
      </c>
      <c r="C24" s="82" t="s">
        <v>152</v>
      </c>
      <c r="D24" s="82" t="s">
        <v>19</v>
      </c>
      <c r="E24" s="125">
        <v>626.67999999999995</v>
      </c>
      <c r="F24" s="58"/>
      <c r="G24" s="30">
        <f>Tableau1346789[[#This Row],[Total TTC]]-Tableau1346789[[#This Row],[Total HT]]</f>
        <v>50.760000000000105</v>
      </c>
      <c r="H24" s="41">
        <v>677.44</v>
      </c>
      <c r="I24" s="138">
        <f>Tableau1346789[[#This Row],[Total TTC]]/100*Tableau1346789[[#This Row],[TVA]]</f>
        <v>343.86854400000072</v>
      </c>
      <c r="J24" s="139" t="s">
        <v>8</v>
      </c>
      <c r="K24" s="28">
        <f>Tableau1346789[[#This Row],[Total TTC]]</f>
        <v>677.44</v>
      </c>
      <c r="L24" s="103">
        <f>Tableau1346789[[#This Row],[Total HT]]</f>
        <v>626.67999999999995</v>
      </c>
      <c r="M24" s="125">
        <f>Tableau1346789[[#This Row],[TVA]]</f>
        <v>50.760000000000105</v>
      </c>
      <c r="N24" s="63"/>
      <c r="O24" s="28">
        <v>677.45</v>
      </c>
      <c r="P24" s="58">
        <f>Tableau1346789[[#This Row],[Montant 
Brut CHF]]-Tableau1346789[[#This Row],[Dcpte 
Mastercard]]</f>
        <v>-9.9999999999909051E-3</v>
      </c>
    </row>
    <row r="25" spans="1:16" s="34" customFormat="1" x14ac:dyDescent="0.25">
      <c r="A25" s="25"/>
      <c r="B25" s="119">
        <v>45590</v>
      </c>
      <c r="C25" s="82" t="s">
        <v>138</v>
      </c>
      <c r="D25" s="122" t="s">
        <v>139</v>
      </c>
      <c r="E25" s="100">
        <v>729.97</v>
      </c>
      <c r="F25" s="117" t="s">
        <v>157</v>
      </c>
      <c r="G25" s="117">
        <f>Tableau1346789[[#This Row],[Total TTC]]-Tableau1346789[[#This Row],[Total HT]]</f>
        <v>0</v>
      </c>
      <c r="H25" s="95">
        <v>729.97</v>
      </c>
      <c r="I25" s="137">
        <f>Tableau1346789[[#This Row],[Total TTC]]/100*Tableau1346789[[#This Row],[TVA]]</f>
        <v>0</v>
      </c>
      <c r="J25" s="131" t="s">
        <v>12</v>
      </c>
      <c r="K25" s="28">
        <f>Tableau1346789[[#This Row],[Total TTC]]</f>
        <v>729.97</v>
      </c>
      <c r="L25" s="100">
        <f>Tableau1346789[[#This Row],[Total HT]]</f>
        <v>729.97</v>
      </c>
      <c r="M25" s="95">
        <f>Tableau1346789[[#This Row],[TVA]]</f>
        <v>0</v>
      </c>
      <c r="N25" s="62"/>
      <c r="O25" s="28">
        <v>728.5</v>
      </c>
      <c r="P25" s="58">
        <f>Tableau1346789[[#This Row],[Montant 
Brut CHF]]-Tableau1346789[[#This Row],[Dcpte 
Mastercard]]</f>
        <v>1.4700000000000273</v>
      </c>
    </row>
    <row r="26" spans="1:16" s="34" customFormat="1" x14ac:dyDescent="0.25">
      <c r="A26" s="126"/>
      <c r="B26" s="126"/>
      <c r="C26" s="127"/>
      <c r="D26" s="127"/>
      <c r="E26" s="45">
        <f>SUM(Tableau1346789[Total HT])</f>
        <v>1892.1200000000001</v>
      </c>
      <c r="F26" s="128"/>
      <c r="G26" s="45">
        <f>SUBTOTAL(9,Tableau1346789[TVA])</f>
        <v>77.52000000000011</v>
      </c>
      <c r="H26" s="45">
        <f>SUM(Tableau1346789[Total TTC])</f>
        <v>1969.64</v>
      </c>
      <c r="I26" s="99"/>
      <c r="J26" s="132"/>
      <c r="K26" s="45">
        <f>SUBTOTAL(9,Tableau1346789[Montant 
Brut CHF])</f>
        <v>1969.64</v>
      </c>
      <c r="L26" s="45">
        <f>SUBTOTAL(9,Tableau1346789[Montant 
NET CHF])</f>
        <v>1892.1200000000001</v>
      </c>
      <c r="M26" s="45">
        <f>SUBTOTAL(9,Tableau1346789[TVA
CHF])</f>
        <v>77.52000000000011</v>
      </c>
      <c r="N26" s="45"/>
      <c r="O26" s="28">
        <f>SUM(Tableau1346789[Dcpte 
Mastercard])</f>
        <v>1968.0500000000002</v>
      </c>
      <c r="P26" s="148">
        <f>SUM(Tableau1346789[Arrondi
Mastercard])</f>
        <v>1.5900000000000354</v>
      </c>
    </row>
    <row r="29" spans="1:16" x14ac:dyDescent="0.25">
      <c r="J29" s="91" t="s">
        <v>8</v>
      </c>
      <c r="K29" s="27">
        <f>SUMIF($J$7:$J$25,J29,$K$7:$K$25)</f>
        <v>677.44</v>
      </c>
      <c r="L29" s="27">
        <f>SUMIF($J$7:$J$25,J29,$L$7:$L$25)</f>
        <v>626.67999999999995</v>
      </c>
      <c r="M29" s="145">
        <f>SUMIF($J$7:$J$25,J29,$M$7:$M$25)</f>
        <v>50.760000000000105</v>
      </c>
      <c r="N29" s="63">
        <f>IF(K29&gt;0,100/L29*M29,"")</f>
        <v>8.0998276632412249</v>
      </c>
    </row>
    <row r="30" spans="1:16" x14ac:dyDescent="0.25">
      <c r="D30" s="26"/>
      <c r="J30" s="93" t="s">
        <v>64</v>
      </c>
      <c r="K30" s="27">
        <f>SUMIF($J$7:$J$25,J30,$K$7:$K$25)</f>
        <v>0</v>
      </c>
      <c r="L30" s="27">
        <f>SUMIF($J$7:$J$25,J30,$L$7:$L$25)</f>
        <v>0</v>
      </c>
      <c r="M30" s="145">
        <f>SUMIF($J$7:$J$25,J30,$M$7:$M$25)</f>
        <v>0</v>
      </c>
      <c r="N30" s="63" t="str">
        <f t="shared" ref="N30:N40" si="0">IF(K30&gt;0,100/L30*M30,"")</f>
        <v/>
      </c>
    </row>
    <row r="31" spans="1:16" x14ac:dyDescent="0.25">
      <c r="J31" s="93" t="s">
        <v>15</v>
      </c>
      <c r="K31" s="27">
        <f>SUMIF($J$7:$J$25,J31,$K$7:$K$25)</f>
        <v>1.7</v>
      </c>
      <c r="L31" s="27">
        <f>SUMIF($J$7:$J$25,J31,$L$7:$L$25)</f>
        <v>1.7</v>
      </c>
      <c r="M31" s="145">
        <f>SUMIF($J$7:$J$25,J31,$M$7:$M$25)</f>
        <v>0</v>
      </c>
      <c r="N31" s="63">
        <f t="shared" si="0"/>
        <v>0</v>
      </c>
    </row>
    <row r="32" spans="1:16" x14ac:dyDescent="0.25">
      <c r="J32" s="134" t="s">
        <v>91</v>
      </c>
      <c r="K32" s="27">
        <f>SUMIF($J$7:$J$25,J32,$K$7:$K$25)</f>
        <v>140.81</v>
      </c>
      <c r="L32" s="27">
        <f>SUMIF($J$7:$J$25,J32,$L$7:$L$25)</f>
        <v>130.26</v>
      </c>
      <c r="M32" s="145">
        <f>SUMIF($J$7:$J$25,J32,$M$7:$M$25)</f>
        <v>10.550000000000011</v>
      </c>
      <c r="N32" s="63">
        <f t="shared" si="0"/>
        <v>8.0991862428988277</v>
      </c>
    </row>
    <row r="33" spans="4:14" x14ac:dyDescent="0.25">
      <c r="D33" s="26"/>
      <c r="J33" s="134" t="s">
        <v>6</v>
      </c>
      <c r="K33" s="27">
        <f>SUMIF($J$7:$J$25,J33,$K$7:$K$25)</f>
        <v>0</v>
      </c>
      <c r="L33" s="27">
        <f>SUMIF($J$7:$J$25,J33,$L$7:$L$25)</f>
        <v>0</v>
      </c>
      <c r="M33" s="145">
        <f>SUMIF($J$7:$J$25,J33,$M$7:$M$25)</f>
        <v>0</v>
      </c>
      <c r="N33" s="63" t="str">
        <f t="shared" si="0"/>
        <v/>
      </c>
    </row>
    <row r="34" spans="4:14" x14ac:dyDescent="0.25">
      <c r="D34" s="26"/>
      <c r="J34" s="134" t="s">
        <v>11</v>
      </c>
      <c r="K34" s="27">
        <f>SUMIF($J$7:$J$25,J34,$K$7:$K$25)</f>
        <v>286.60000000000002</v>
      </c>
      <c r="L34" s="27">
        <f>SUMIF($J$7:$J$25,J34,$L$7:$L$25)</f>
        <v>271.14</v>
      </c>
      <c r="M34" s="145">
        <f>SUMIF($J$7:$J$25,J34,$M$7:$M$25)</f>
        <v>15.45999999999999</v>
      </c>
      <c r="N34" s="63">
        <f t="shared" si="0"/>
        <v>5.7018514420594499</v>
      </c>
    </row>
    <row r="35" spans="4:14" x14ac:dyDescent="0.25">
      <c r="D35" s="26"/>
      <c r="J35" s="134" t="s">
        <v>112</v>
      </c>
      <c r="K35" s="27">
        <f>SUMIF($J$7:$J$25,J35,$K$7:$K$25)</f>
        <v>0</v>
      </c>
      <c r="L35" s="27">
        <f>SUMIF($J$7:$J$25,J35,$L$7:$L$25)</f>
        <v>0</v>
      </c>
      <c r="M35" s="145">
        <f>SUMIF($J$7:$J$25,J35,$M$7:$M$25)</f>
        <v>0</v>
      </c>
      <c r="N35" s="63" t="str">
        <f t="shared" si="0"/>
        <v/>
      </c>
    </row>
    <row r="36" spans="4:14" x14ac:dyDescent="0.25">
      <c r="D36" s="26"/>
      <c r="J36" s="134" t="s">
        <v>12</v>
      </c>
      <c r="K36" s="27">
        <f>SUMIF($J$7:$J$25,J36,$K$7:$K$25)</f>
        <v>853.09</v>
      </c>
      <c r="L36" s="27">
        <f>SUMIF($J$7:$J$25,J36,$L$7:$L$25)</f>
        <v>853.09</v>
      </c>
      <c r="M36" s="145">
        <f>SUMIF($J$7:$J$25,J36,$M$7:$M$25)</f>
        <v>0</v>
      </c>
      <c r="N36" s="63">
        <f t="shared" si="0"/>
        <v>0</v>
      </c>
    </row>
    <row r="37" spans="4:14" x14ac:dyDescent="0.25">
      <c r="D37" s="26"/>
      <c r="J37" s="134" t="s">
        <v>67</v>
      </c>
      <c r="K37" s="27">
        <f>SUMIF($J$7:$J$25,J37,$K$7:$K$25)</f>
        <v>0</v>
      </c>
      <c r="L37" s="27">
        <f>SUMIF($J$7:$J$25,J37,$L$7:$L$25)</f>
        <v>0</v>
      </c>
      <c r="M37" s="145">
        <f>SUMIF($J$7:$J$25,J37,$M$7:$M$25)</f>
        <v>0</v>
      </c>
      <c r="N37" s="63" t="str">
        <f t="shared" si="0"/>
        <v/>
      </c>
    </row>
    <row r="38" spans="4:14" x14ac:dyDescent="0.25">
      <c r="D38" s="26"/>
      <c r="J38" s="134" t="s">
        <v>14</v>
      </c>
      <c r="K38" s="27">
        <f>SUMIF($J$7:$J$25,J38,$K$7:$K$25)</f>
        <v>0</v>
      </c>
      <c r="L38" s="27">
        <f>SUMIF($J$7:$J$25,J38,$L$7:$L$25)</f>
        <v>0</v>
      </c>
      <c r="M38" s="145">
        <f>SUMIF($J$7:$J$25,J38,$M$7:$M$25)</f>
        <v>0</v>
      </c>
      <c r="N38" s="63" t="str">
        <f t="shared" si="0"/>
        <v/>
      </c>
    </row>
    <row r="39" spans="4:14" x14ac:dyDescent="0.25">
      <c r="D39" s="26"/>
      <c r="J39" s="91" t="s">
        <v>60</v>
      </c>
      <c r="K39" s="27">
        <f>SUMIF($J$7:$J$25,J39,$K$7:$K$25)</f>
        <v>10</v>
      </c>
      <c r="L39" s="27">
        <f>SUMIF($J$7:$J$25,J39,$L$7:$L$25)</f>
        <v>9.25</v>
      </c>
      <c r="M39" s="145">
        <f>SUMIF($J$7:$J$25,J39,$M$7:$M$25)</f>
        <v>0.75</v>
      </c>
      <c r="N39" s="63">
        <f t="shared" si="0"/>
        <v>8.1081081081081088</v>
      </c>
    </row>
    <row r="40" spans="4:14" x14ac:dyDescent="0.25">
      <c r="J40" s="134" t="s">
        <v>88</v>
      </c>
      <c r="K40" s="27">
        <f>SUMIF($J$7:$J$25,J40,$K$7:$K$25)</f>
        <v>0</v>
      </c>
      <c r="L40" s="27">
        <f>SUMIF($J$7:$J$25,J40,$L$7:$L$25)</f>
        <v>0</v>
      </c>
      <c r="M40" s="145">
        <f>SUMIF($J$7:$J$25,J40,$M$7:$M$25)</f>
        <v>0</v>
      </c>
      <c r="N40" s="63" t="str">
        <f t="shared" si="0"/>
        <v/>
      </c>
    </row>
    <row r="41" spans="4:14" x14ac:dyDescent="0.25">
      <c r="J41" s="134"/>
      <c r="K41" s="27"/>
      <c r="L41" s="27"/>
      <c r="M41" s="145"/>
      <c r="N41" s="63"/>
    </row>
    <row r="42" spans="4:14" hidden="1" x14ac:dyDescent="0.25">
      <c r="J42" s="140" t="s">
        <v>159</v>
      </c>
      <c r="K42" s="141">
        <f>SUMIF($J$7:$J$25,J42,$K$7:$K$25)</f>
        <v>0</v>
      </c>
      <c r="L42" s="141">
        <f>SUMIF($J$7:$J$25,J42,$L$7:$L$25)</f>
        <v>0</v>
      </c>
      <c r="M42" s="146">
        <f>SUMIF($J$7:$J$25,J42,$M$7:$M$25)</f>
        <v>0</v>
      </c>
      <c r="N42" s="63"/>
    </row>
    <row r="43" spans="4:14" x14ac:dyDescent="0.25">
      <c r="J43" s="134" t="s">
        <v>93</v>
      </c>
      <c r="K43" s="27">
        <f>SUMIF($J$7:$J$25,J43,$K$7:$K$25)</f>
        <v>0</v>
      </c>
      <c r="L43" s="27">
        <f>SUMIF($J$7:$J$25,J43,$L$7:$L$25)</f>
        <v>0</v>
      </c>
      <c r="M43" s="145">
        <f>SUMIF($J$7:$J$25,J43,$M$7:$M$25)</f>
        <v>0</v>
      </c>
      <c r="N43" s="80"/>
    </row>
    <row r="44" spans="4:14" x14ac:dyDescent="0.25">
      <c r="D44" s="32"/>
      <c r="K44" s="27"/>
      <c r="L44" s="27"/>
      <c r="M44" s="145"/>
    </row>
    <row r="45" spans="4:14" x14ac:dyDescent="0.25">
      <c r="J45" s="135" t="s">
        <v>7</v>
      </c>
      <c r="K45" s="33">
        <f>SUM(K29:K43)</f>
        <v>1969.6400000000003</v>
      </c>
      <c r="L45" s="33">
        <f>SUM(L29:L43)</f>
        <v>1892.12</v>
      </c>
      <c r="M45" s="145">
        <f>SUM(M29:M43)</f>
        <v>77.52000000000011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2024</vt:lpstr>
      <vt:lpstr>JENJI 07-24</vt:lpstr>
      <vt:lpstr>JENJI 08-24</vt:lpstr>
      <vt:lpstr>JENJI 09-24 total</vt:lpstr>
      <vt:lpstr>JENJI 09-24 VISA</vt:lpstr>
      <vt:lpstr>JENJI 09-24 1</vt:lpstr>
      <vt:lpstr>JENJI 09-24 2</vt:lpstr>
      <vt:lpstr>JENJI 10-24</vt:lpstr>
      <vt:lpstr>JENJI 10-24 Mastercard</vt:lpstr>
      <vt:lpstr>JENJI 10-24 REST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2024-11-19T13:08:32Z</cp:lastPrinted>
  <dcterms:created xsi:type="dcterms:W3CDTF">2023-07-04T10:29:13Z</dcterms:created>
  <dcterms:modified xsi:type="dcterms:W3CDTF">2024-11-19T13:20:46Z</dcterms:modified>
</cp:coreProperties>
</file>