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Finances et compta\2019\Q1 2019\"/>
    </mc:Choice>
  </mc:AlternateContent>
  <xr:revisionPtr revIDLastSave="0" documentId="8_{4D374DB2-6555-4D66-BEBB-AF56122600BB}" xr6:coauthVersionLast="40" xr6:coauthVersionMax="40" xr10:uidLastSave="{00000000-0000-0000-0000-000000000000}"/>
  <bookViews>
    <workbookView xWindow="1590" yWindow="1170" windowWidth="27015" windowHeight="13845" xr2:uid="{A300D550-2842-481B-9D80-9DD3AD1724B0}"/>
  </bookViews>
  <sheets>
    <sheet name="Creancier Section de frais  (2)" sheetId="1" r:id="rId1"/>
  </sheets>
  <definedNames>
    <definedName name="_xlnm.Print_Titles" localSheetId="0">'Creancier Section de frais  (2)'!$10:$10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1" l="1"/>
  <c r="DB51" i="1"/>
  <c r="E51" i="1" s="1"/>
  <c r="P51" i="1"/>
  <c r="F82" i="1"/>
  <c r="N1" i="1"/>
  <c r="O28" i="1" s="1"/>
  <c r="X4" i="1"/>
  <c r="AA4" i="1"/>
  <c r="AB4" i="1"/>
  <c r="AC4" i="1"/>
  <c r="AD4" i="1"/>
  <c r="AH4" i="1"/>
  <c r="AI4" i="1"/>
  <c r="AJ4" i="1"/>
  <c r="AK4" i="1"/>
  <c r="AL4" i="1"/>
  <c r="AN4" i="1"/>
  <c r="AO4" i="1"/>
  <c r="AP4" i="1"/>
  <c r="AQ4" i="1"/>
  <c r="AR4" i="1"/>
  <c r="AS4" i="1"/>
  <c r="AT4" i="1"/>
  <c r="AU4" i="1"/>
  <c r="AW4" i="1"/>
  <c r="BA4" i="1"/>
  <c r="BB4" i="1"/>
  <c r="BD4" i="1"/>
  <c r="BE4" i="1"/>
  <c r="BG4" i="1"/>
  <c r="BH4" i="1"/>
  <c r="BI4" i="1"/>
  <c r="BJ4" i="1"/>
  <c r="BK4" i="1"/>
  <c r="BN4" i="1"/>
  <c r="BO4" i="1"/>
  <c r="BP4" i="1"/>
  <c r="BQ4" i="1"/>
  <c r="BR4" i="1"/>
  <c r="BS4" i="1"/>
  <c r="BT4" i="1"/>
  <c r="BV4" i="1"/>
  <c r="BY4" i="1"/>
  <c r="CB4" i="1"/>
  <c r="CF4" i="1"/>
  <c r="CK4" i="1"/>
  <c r="CL4" i="1"/>
  <c r="CS4" i="1"/>
  <c r="CW4" i="1"/>
  <c r="CX4" i="1"/>
  <c r="CZ4" i="1"/>
  <c r="DD4" i="1"/>
  <c r="DE4" i="1"/>
  <c r="DF4" i="1"/>
  <c r="DG4" i="1"/>
  <c r="DH4" i="1"/>
  <c r="Z4" i="1"/>
  <c r="DC4" i="1"/>
  <c r="CD4" i="1"/>
  <c r="E13" i="1"/>
  <c r="P13" i="1"/>
  <c r="F15" i="1"/>
  <c r="P15" i="1" s="1"/>
  <c r="DA15" i="1"/>
  <c r="CM4" i="1"/>
  <c r="E16" i="1"/>
  <c r="P16" i="1"/>
  <c r="E18" i="1"/>
  <c r="J18" i="1"/>
  <c r="F18" i="1" s="1"/>
  <c r="P18" i="1" s="1"/>
  <c r="E19" i="1"/>
  <c r="P19" i="1"/>
  <c r="E21" i="1"/>
  <c r="P21" i="1"/>
  <c r="BL4" i="1"/>
  <c r="E25" i="1"/>
  <c r="P25" i="1"/>
  <c r="E26" i="1"/>
  <c r="P26" i="1"/>
  <c r="E28" i="1"/>
  <c r="P28" i="1"/>
  <c r="AX4" i="1"/>
  <c r="P35" i="1"/>
  <c r="CH35" i="1"/>
  <c r="E35" i="1" s="1"/>
  <c r="E36" i="1"/>
  <c r="P36" i="1"/>
  <c r="E37" i="1"/>
  <c r="P37" i="1"/>
  <c r="P40" i="1"/>
  <c r="CU40" i="1"/>
  <c r="CV40" i="1"/>
  <c r="CV4" i="1" s="1"/>
  <c r="AG4" i="1"/>
  <c r="P42" i="1"/>
  <c r="CY42" i="1"/>
  <c r="E42" i="1" s="1"/>
  <c r="AZ4" i="1"/>
  <c r="E43" i="1"/>
  <c r="P43" i="1"/>
  <c r="F44" i="1"/>
  <c r="P44" i="1" s="1"/>
  <c r="BW44" i="1"/>
  <c r="CN44" i="1"/>
  <c r="CO44" i="1"/>
  <c r="CQ44" i="1"/>
  <c r="DA44" i="1"/>
  <c r="E48" i="1"/>
  <c r="P48" i="1"/>
  <c r="E53" i="1"/>
  <c r="P53" i="1"/>
  <c r="E22" i="1"/>
  <c r="P22" i="1"/>
  <c r="E45" i="1"/>
  <c r="H45" i="1"/>
  <c r="P45" i="1"/>
  <c r="E54" i="1"/>
  <c r="P54" i="1"/>
  <c r="E11" i="1"/>
  <c r="P11" i="1"/>
  <c r="E59" i="1"/>
  <c r="P59" i="1"/>
  <c r="E60" i="1"/>
  <c r="P60" i="1"/>
  <c r="E12" i="1"/>
  <c r="P12" i="1"/>
  <c r="E14" i="1"/>
  <c r="P14" i="1"/>
  <c r="E17" i="1"/>
  <c r="P17" i="1"/>
  <c r="F62" i="1"/>
  <c r="P62" i="1" s="1"/>
  <c r="CN62" i="1"/>
  <c r="CP62" i="1"/>
  <c r="CQ62" i="1"/>
  <c r="E23" i="1"/>
  <c r="P23" i="1"/>
  <c r="E24" i="1"/>
  <c r="P24" i="1"/>
  <c r="E69" i="1"/>
  <c r="P69" i="1"/>
  <c r="E72" i="1"/>
  <c r="P72" i="1"/>
  <c r="E27" i="1"/>
  <c r="P27" i="1"/>
  <c r="E29" i="1"/>
  <c r="P29" i="1"/>
  <c r="E30" i="1"/>
  <c r="P30" i="1"/>
  <c r="E41" i="1"/>
  <c r="P41" i="1"/>
  <c r="E63" i="1"/>
  <c r="P63" i="1"/>
  <c r="E46" i="1"/>
  <c r="P46" i="1"/>
  <c r="E47" i="1"/>
  <c r="P47" i="1"/>
  <c r="E49" i="1"/>
  <c r="P49" i="1"/>
  <c r="E50" i="1"/>
  <c r="P50" i="1"/>
  <c r="E52" i="1"/>
  <c r="P52" i="1"/>
  <c r="E55" i="1"/>
  <c r="P55" i="1"/>
  <c r="E56" i="1"/>
  <c r="P56" i="1"/>
  <c r="E57" i="1"/>
  <c r="P57" i="1"/>
  <c r="E65" i="1"/>
  <c r="P65" i="1"/>
  <c r="E66" i="1"/>
  <c r="P66" i="1"/>
  <c r="E58" i="1"/>
  <c r="P58" i="1"/>
  <c r="E61" i="1"/>
  <c r="P61" i="1"/>
  <c r="E64" i="1"/>
  <c r="P64" i="1"/>
  <c r="F67" i="1"/>
  <c r="P67" i="1" s="1"/>
  <c r="BW67" i="1"/>
  <c r="E67" i="1" s="1"/>
  <c r="E70" i="1"/>
  <c r="P70" i="1"/>
  <c r="E71" i="1"/>
  <c r="P71" i="1"/>
  <c r="E31" i="1"/>
  <c r="P31" i="1"/>
  <c r="E74" i="1"/>
  <c r="P74" i="1"/>
  <c r="P68" i="1"/>
  <c r="CC68" i="1"/>
  <c r="CC4" i="1" s="1"/>
  <c r="P75" i="1"/>
  <c r="CJ75" i="1"/>
  <c r="CJ4" i="1" s="1"/>
  <c r="E73" i="1"/>
  <c r="P73" i="1"/>
  <c r="P76" i="1"/>
  <c r="BM76" i="1"/>
  <c r="E76" i="1" s="1"/>
  <c r="E77" i="1"/>
  <c r="P77" i="1"/>
  <c r="E20" i="1"/>
  <c r="P20" i="1"/>
  <c r="E32" i="1"/>
  <c r="P32" i="1"/>
  <c r="E34" i="1"/>
  <c r="P34" i="1"/>
  <c r="E38" i="1"/>
  <c r="F38" i="1"/>
  <c r="P38" i="1" s="1"/>
  <c r="E39" i="1"/>
  <c r="F39" i="1"/>
  <c r="P39" i="1" s="1"/>
  <c r="Y4" i="1"/>
  <c r="F33" i="1"/>
  <c r="P33" i="1" s="1"/>
  <c r="CI33" i="1"/>
  <c r="E33" i="1" s="1"/>
  <c r="DB4" i="1" l="1"/>
  <c r="O51" i="1"/>
  <c r="O32" i="1"/>
  <c r="O66" i="1"/>
  <c r="O47" i="1"/>
  <c r="O33" i="1"/>
  <c r="O69" i="1"/>
  <c r="O13" i="1"/>
  <c r="O74" i="1"/>
  <c r="O38" i="1"/>
  <c r="O77" i="1"/>
  <c r="O76" i="1"/>
  <c r="O64" i="1"/>
  <c r="O52" i="1"/>
  <c r="O29" i="1"/>
  <c r="O12" i="1"/>
  <c r="O45" i="1"/>
  <c r="O22" i="1"/>
  <c r="O39" i="1"/>
  <c r="O75" i="1"/>
  <c r="O67" i="1"/>
  <c r="O55" i="1"/>
  <c r="O30" i="1"/>
  <c r="O62" i="1"/>
  <c r="O54" i="1"/>
  <c r="O34" i="1"/>
  <c r="O73" i="1"/>
  <c r="O31" i="1"/>
  <c r="O65" i="1"/>
  <c r="O46" i="1"/>
  <c r="O24" i="1"/>
  <c r="O37" i="1"/>
  <c r="O60" i="1"/>
  <c r="O43" i="1"/>
  <c r="O44" i="1"/>
  <c r="O42" i="1"/>
  <c r="O26" i="1"/>
  <c r="O70" i="1"/>
  <c r="O58" i="1"/>
  <c r="O56" i="1"/>
  <c r="O49" i="1"/>
  <c r="O41" i="1"/>
  <c r="O72" i="1"/>
  <c r="O14" i="1"/>
  <c r="O11" i="1"/>
  <c r="O48" i="1"/>
  <c r="O40" i="1"/>
  <c r="O19" i="1"/>
  <c r="O68" i="1"/>
  <c r="O71" i="1"/>
  <c r="O61" i="1"/>
  <c r="O57" i="1"/>
  <c r="O50" i="1"/>
  <c r="O63" i="1"/>
  <c r="O27" i="1"/>
  <c r="O23" i="1"/>
  <c r="O17" i="1"/>
  <c r="O59" i="1"/>
  <c r="O53" i="1"/>
  <c r="O36" i="1"/>
  <c r="O35" i="1"/>
  <c r="O25" i="1"/>
  <c r="O21" i="1"/>
  <c r="O18" i="1"/>
  <c r="O16" i="1"/>
  <c r="O15" i="1"/>
  <c r="CH4" i="1"/>
  <c r="E75" i="1"/>
  <c r="BZ4" i="1"/>
  <c r="AM4" i="1"/>
  <c r="E68" i="1"/>
  <c r="CO4" i="1"/>
  <c r="CI4" i="1"/>
  <c r="E62" i="1"/>
  <c r="CT4" i="1"/>
  <c r="M7" i="1"/>
  <c r="AF4" i="1"/>
  <c r="CR4" i="1"/>
  <c r="BX4" i="1"/>
  <c r="BM4" i="1"/>
  <c r="BW4" i="1"/>
  <c r="C4" i="1"/>
  <c r="C7" i="1" s="1"/>
  <c r="E40" i="1"/>
  <c r="CU4" i="1"/>
  <c r="CY4" i="1"/>
  <c r="CA4" i="1"/>
  <c r="CQ4" i="1"/>
  <c r="CG4" i="1"/>
  <c r="AV4" i="1"/>
  <c r="CE4" i="1"/>
  <c r="CP4" i="1"/>
  <c r="BF4" i="1"/>
  <c r="E44" i="1"/>
  <c r="AY4" i="1"/>
  <c r="DA4" i="1"/>
  <c r="BU4" i="1"/>
  <c r="AE4" i="1"/>
  <c r="BC4" i="1"/>
  <c r="C8" i="1"/>
  <c r="CN4" i="1"/>
  <c r="E15" i="1"/>
  <c r="W4" i="1" l="1"/>
  <c r="C3" i="1"/>
</calcChain>
</file>

<file path=xl/sharedStrings.xml><?xml version="1.0" encoding="utf-8"?>
<sst xmlns="http://schemas.openxmlformats.org/spreadsheetml/2006/main" count="385" uniqueCount="251">
  <si>
    <t>TVA</t>
  </si>
  <si>
    <t>AFD Administration fédérale des douanes</t>
  </si>
  <si>
    <t>FU</t>
  </si>
  <si>
    <t>Mitarbeiter</t>
  </si>
  <si>
    <t>Interima</t>
  </si>
  <si>
    <t>Coldtec</t>
  </si>
  <si>
    <t>Telefon</t>
  </si>
  <si>
    <t>Office Depot</t>
  </si>
  <si>
    <t>Mades</t>
  </si>
  <si>
    <t>Transport</t>
  </si>
  <si>
    <t>Sieber</t>
  </si>
  <si>
    <t>1845</t>
  </si>
  <si>
    <t>Gabriel Robez</t>
  </si>
  <si>
    <t>F0444</t>
  </si>
  <si>
    <t>Intern</t>
  </si>
  <si>
    <t>base salaire AVS 286'700.-</t>
  </si>
  <si>
    <t>Tellco (Caisse de pension pro)</t>
  </si>
  <si>
    <t>Sandra Schmid</t>
  </si>
  <si>
    <t>Bureau</t>
  </si>
  <si>
    <t>Narbutas</t>
  </si>
  <si>
    <t>Administration cantonale des impôts - Impôt à la source</t>
  </si>
  <si>
    <t>15.446.12</t>
  </si>
  <si>
    <t>Prodega</t>
  </si>
  <si>
    <t>Zoll</t>
  </si>
  <si>
    <t>Gerlach SA</t>
  </si>
  <si>
    <t>Import Narbutas le 29.03.19</t>
  </si>
  <si>
    <t>Evolink</t>
  </si>
  <si>
    <t>Épargne 2019 - 50% GG</t>
  </si>
  <si>
    <t>libération 50 % GG</t>
  </si>
  <si>
    <t>risque/frais 2019 -50% GG</t>
  </si>
  <si>
    <t>3/11 - Épargne 2019 (18509.-)</t>
  </si>
  <si>
    <t>03/19</t>
  </si>
  <si>
    <t>libération 50 % GG 20.10-31.12.2018</t>
  </si>
  <si>
    <t>2/11 - Épargne 2019 (18509.-)</t>
  </si>
  <si>
    <t>RMES</t>
  </si>
  <si>
    <t>NC 2010027680 CHF 0.95 deduit</t>
  </si>
  <si>
    <t>Retripa</t>
  </si>
  <si>
    <t>1846/1855</t>
  </si>
  <si>
    <t>Landi</t>
  </si>
  <si>
    <t>1799/1865/1810</t>
  </si>
  <si>
    <t>Pappy John</t>
  </si>
  <si>
    <t>Compta 03/19</t>
  </si>
  <si>
    <t>Compta 02/19</t>
  </si>
  <si>
    <t>190229/190231/190237</t>
  </si>
  <si>
    <t>Café bureau</t>
  </si>
  <si>
    <t>1841/1843, recu le 29.03.2019</t>
  </si>
  <si>
    <t>05.03.19 Ruf Daniel 2h45 x 32.77</t>
  </si>
  <si>
    <t>remplace fa 167954 du 20.03.19, selon tel M. Cazimi</t>
  </si>
  <si>
    <t>Import Narbutas le 21.03.19</t>
  </si>
  <si>
    <t>TVA &amp; Zoll</t>
  </si>
  <si>
    <t>Verrechnet über Gerlach, da Zollkonto wegen offenen Rechnungen gesperrt war</t>
  </si>
  <si>
    <t>M</t>
  </si>
  <si>
    <t>Foffa 190210</t>
  </si>
  <si>
    <t>1877</t>
  </si>
  <si>
    <t>1878</t>
  </si>
  <si>
    <t>3/3 Impôt benefice &amp; capital 2019</t>
  </si>
  <si>
    <t>Acomptes 3x90.60 = 271.80</t>
  </si>
  <si>
    <t>Office d'impôt des Personnes Morales</t>
  </si>
  <si>
    <t>616.04.</t>
  </si>
  <si>
    <t>2/3 Impôt benefice &amp; capital 2019</t>
  </si>
  <si>
    <t>1/3 Impôt benefice &amp; capital 2019</t>
  </si>
  <si>
    <t>Spiralblock Laurent, Papier A4</t>
  </si>
  <si>
    <t>Import Gabriel Robez le 13.03.19</t>
  </si>
  <si>
    <t>Licence Mitel 415</t>
  </si>
  <si>
    <t>190167/190144/190097/190083</t>
  </si>
  <si>
    <t>Import Mades le 07.03.19</t>
  </si>
  <si>
    <t>Import Mobika le 19.03.19</t>
  </si>
  <si>
    <t>Gefco</t>
  </si>
  <si>
    <t>3339F02080</t>
  </si>
  <si>
    <t>Import Antares le 01.03.19, AMF le 04.03.19</t>
  </si>
  <si>
    <t>Import Narbutas le 06.02.19</t>
  </si>
  <si>
    <t>Verzollung an Narbutas weiterverrechnen CHF 162.10</t>
  </si>
  <si>
    <t>M+R Spedag group</t>
  </si>
  <si>
    <t>Papier A4, 5 packs</t>
  </si>
  <si>
    <t>Import Mobika le 20.02.19</t>
  </si>
  <si>
    <t>1881</t>
  </si>
  <si>
    <t>1879/1880</t>
  </si>
  <si>
    <t xml:space="preserve">Import Narbutas et Wilking le 13.02.19 </t>
  </si>
  <si>
    <t>Import Antares le 11.02.19</t>
  </si>
  <si>
    <t xml:space="preserve">Import BS et Mades le 05.02.19 </t>
  </si>
  <si>
    <t>Import Antares le 30.01.19</t>
  </si>
  <si>
    <t>Import Narbutas le 28.01.19</t>
  </si>
  <si>
    <t>1819</t>
  </si>
  <si>
    <t>1874</t>
  </si>
  <si>
    <t>Gabriel</t>
  </si>
  <si>
    <t>1872</t>
  </si>
  <si>
    <t>02/19</t>
  </si>
  <si>
    <t>1870</t>
  </si>
  <si>
    <t>1862</t>
  </si>
  <si>
    <t>Caisse</t>
  </si>
  <si>
    <t>1801/1817 recu le 26.04.19</t>
  </si>
  <si>
    <t>MDS2019-055</t>
  </si>
  <si>
    <t>1860</t>
  </si>
  <si>
    <t>1308</t>
  </si>
  <si>
    <t>1854</t>
  </si>
  <si>
    <t>1850</t>
  </si>
  <si>
    <t>1852</t>
  </si>
  <si>
    <t>1853</t>
  </si>
  <si>
    <t>1844</t>
  </si>
  <si>
    <t>1838</t>
  </si>
  <si>
    <t>1837</t>
  </si>
  <si>
    <t>1827</t>
  </si>
  <si>
    <t>1764</t>
  </si>
  <si>
    <t>Wilking</t>
  </si>
  <si>
    <t>4/19/EX</t>
  </si>
  <si>
    <t>1790</t>
  </si>
  <si>
    <t>Certeo</t>
  </si>
  <si>
    <t>BE-CH19-000327</t>
  </si>
  <si>
    <t>1812</t>
  </si>
  <si>
    <t>1798</t>
  </si>
  <si>
    <t>note de crédit de CHF 250 deduit</t>
  </si>
  <si>
    <t>BE-CH19-000371</t>
  </si>
  <si>
    <t>Frais SS</t>
  </si>
  <si>
    <t>1795T</t>
  </si>
  <si>
    <t>Coffre Fort</t>
  </si>
  <si>
    <t>Service Externe</t>
  </si>
  <si>
    <t>Service
Clients
Faute INT</t>
  </si>
  <si>
    <t>Kleinmaterial</t>
  </si>
  <si>
    <t>Geschirr</t>
  </si>
  <si>
    <t>Nettoyage
Hygiene</t>
  </si>
  <si>
    <t>Aspirateurs</t>
  </si>
  <si>
    <t>Werkstatt &amp; Industrie</t>
  </si>
  <si>
    <t>Hubwagen</t>
  </si>
  <si>
    <t>Haushalts-
E-Geräte
Grills</t>
  </si>
  <si>
    <t>Arbeits-
kleidung</t>
  </si>
  <si>
    <t>Heizlüfter
Heizen</t>
  </si>
  <si>
    <t>Klimageräte
Ventilateurs</t>
  </si>
  <si>
    <t>Elektro
&amp; BAU
4</t>
  </si>
  <si>
    <t>Küche
Bac collectif
Herdplatten</t>
  </si>
  <si>
    <t>Lits &amp; Matelas
&amp; Bettzeug</t>
  </si>
  <si>
    <t>Separations
Screens</t>
  </si>
  <si>
    <t>Tables
Caissons</t>
  </si>
  <si>
    <t>Chaises</t>
  </si>
  <si>
    <t>Vestiares
Garderoben
Bänke</t>
  </si>
  <si>
    <t>Schränke</t>
  </si>
  <si>
    <t>Lave-Bottes</t>
  </si>
  <si>
    <t>Equimenents pro</t>
  </si>
  <si>
    <t>Sitag
Meubles</t>
  </si>
  <si>
    <t>Biertische
Regal Mikael
Mülltonnen
Cendrier</t>
  </si>
  <si>
    <t>Armoire séchante</t>
  </si>
  <si>
    <t>Mat Bureau
Tableaux</t>
  </si>
  <si>
    <t>MAT Bureau
allgemein</t>
  </si>
  <si>
    <t>Limonade</t>
  </si>
  <si>
    <t>Wasser
Coca</t>
  </si>
  <si>
    <t>Kauf &amp;
Wartung
Kaffee-
maschinen</t>
  </si>
  <si>
    <t>CAFE
&amp;
Zubehör</t>
  </si>
  <si>
    <t>Accoustic MOSS</t>
  </si>
  <si>
    <t>Frachtkosten
Kunden</t>
  </si>
  <si>
    <t>Post
Pakete &amp;
Briefe
intern</t>
  </si>
  <si>
    <t>Post
Pakete &amp;
Briefe
Kunden</t>
  </si>
  <si>
    <t>Frachtkosten
Lieferant
National</t>
  </si>
  <si>
    <t>Frachtkosten
Lieferant
International</t>
  </si>
  <si>
    <t>Rückvergütungen
Kunden</t>
  </si>
  <si>
    <t>Dedouanement CH
GERLACH</t>
  </si>
  <si>
    <t>Einfuhr
Spesen</t>
  </si>
  <si>
    <t>Garantie
AFD</t>
  </si>
  <si>
    <t>TVA
(Einfuhr
AFD)</t>
  </si>
  <si>
    <t>Impots 
Federal
Direct</t>
  </si>
  <si>
    <t>Impôt sur 
le benefice et le
capital</t>
  </si>
  <si>
    <t>Fiducaire
Compta</t>
  </si>
  <si>
    <t xml:space="preserve">Dechets
reclyclage ELEKTRO
</t>
  </si>
  <si>
    <t>Strafen
Intérêts
intern</t>
  </si>
  <si>
    <t>Taxe Div
restigre du commerce</t>
  </si>
  <si>
    <t>Frais bancaire
SumUp
Aduno
PostFinance</t>
  </si>
  <si>
    <t>Chauffage</t>
  </si>
  <si>
    <t>Electricité</t>
  </si>
  <si>
    <t>WINBIZ
&amp; Server</t>
  </si>
  <si>
    <t>WEB/MAIL
Homepage
Domaine
Informatique</t>
  </si>
  <si>
    <t>Telephone 
&amp; Internet
intern</t>
  </si>
  <si>
    <t>Matériel
Depot
Montage</t>
  </si>
  <si>
    <t>Matériel bureau
intern</t>
  </si>
  <si>
    <t>Getränke
Mitarbeiter</t>
  </si>
  <si>
    <t>Location
Bureau
Depot
Parking</t>
  </si>
  <si>
    <t>Diesel
Vehicules</t>
  </si>
  <si>
    <t>Frais Vehicules</t>
  </si>
  <si>
    <t>Parking</t>
  </si>
  <si>
    <t>Achat vehicules</t>
  </si>
  <si>
    <t>Leasing</t>
  </si>
  <si>
    <t>Assurances
Intern
Loyer, choses, incendie</t>
  </si>
  <si>
    <t>ASS
RC</t>
  </si>
  <si>
    <t>Nebenkosten
Assurance
Mitarbeiter</t>
  </si>
  <si>
    <t>Mutuel
LCA</t>
  </si>
  <si>
    <t>Impots à
la source</t>
  </si>
  <si>
    <t>fpV Caisse AVS
Cotisations</t>
  </si>
  <si>
    <t>Caisse Pension
TELLCO</t>
  </si>
  <si>
    <t>Salaires
Avance salaires</t>
  </si>
  <si>
    <t>Mitarbeiter
Kosten
ohne SALAIRE INTERN</t>
  </si>
  <si>
    <t>Commission</t>
  </si>
  <si>
    <t>Formation intern</t>
  </si>
  <si>
    <t>Sponsoring</t>
  </si>
  <si>
    <t>Architekten
Projekte</t>
  </si>
  <si>
    <t>Werbungs
kosten
Kataloge</t>
  </si>
  <si>
    <t>Frais Monteurs
Deplacement
Montage</t>
  </si>
  <si>
    <t>Restaurant</t>
  </si>
  <si>
    <t>Frais de 
representation</t>
  </si>
  <si>
    <t>Conseils &amp; Gestion financière</t>
  </si>
  <si>
    <t>Sourcing,
Management
Pro Group</t>
  </si>
  <si>
    <t>Promerka Group</t>
  </si>
  <si>
    <t>Prêt
Credits</t>
  </si>
  <si>
    <t>Gabriel privé</t>
  </si>
  <si>
    <t>Promerka
Group
TEMP</t>
  </si>
  <si>
    <t>Commentaire</t>
  </si>
  <si>
    <t>POUR</t>
  </si>
  <si>
    <t>Société</t>
  </si>
  <si>
    <t>payée
PAR</t>
  </si>
  <si>
    <t>payée le
reçu le</t>
  </si>
  <si>
    <t>ETAT
per
31.12.18</t>
  </si>
  <si>
    <t>pour
formule</t>
  </si>
  <si>
    <t>Fällig
SEIT</t>
  </si>
  <si>
    <t>Commentaire
paiement</t>
  </si>
  <si>
    <t>Teilbetrag
Gesamtbetrag bei Teilung</t>
  </si>
  <si>
    <t>Échéance</t>
  </si>
  <si>
    <t>TVA %
inclus</t>
  </si>
  <si>
    <t>Montant
€</t>
  </si>
  <si>
    <t>Change € &gt; CH</t>
  </si>
  <si>
    <t>Escomptes
CHF</t>
  </si>
  <si>
    <t>Montant
TTC
CHF</t>
  </si>
  <si>
    <t>Montant HT</t>
  </si>
  <si>
    <t>Créancier</t>
  </si>
  <si>
    <t>DATE RECU</t>
  </si>
  <si>
    <t>Date de la
facture</t>
  </si>
  <si>
    <t>n° facture</t>
  </si>
  <si>
    <t>à payer:</t>
  </si>
  <si>
    <t>Escompte</t>
  </si>
  <si>
    <t>Rechnungen 2019 TTC</t>
  </si>
  <si>
    <t>frais livraison</t>
  </si>
  <si>
    <t>S</t>
  </si>
  <si>
    <t>Rechnungen  2019 date 2018 TTC</t>
  </si>
  <si>
    <t>Service Fehler Client</t>
  </si>
  <si>
    <t>Salaire net. 2019: CHF 24'488.60</t>
  </si>
  <si>
    <t>&amp; diff. change à 1.1269</t>
  </si>
  <si>
    <t>Rechnungen 2018 TTC</t>
  </si>
  <si>
    <t>Mat - Client</t>
  </si>
  <si>
    <t>R</t>
  </si>
  <si>
    <t>Mitarbeiterkosten</t>
  </si>
  <si>
    <t>Montant Total TTC:</t>
  </si>
  <si>
    <t>NON Mat - Client</t>
  </si>
  <si>
    <t>mixed TVA pas defi</t>
  </si>
  <si>
    <t>D</t>
  </si>
  <si>
    <t>Montant Net:</t>
  </si>
  <si>
    <t>intern</t>
  </si>
  <si>
    <t>A</t>
  </si>
  <si>
    <t>mixed TVA fix (0%, 2.5%, 8.00%)</t>
  </si>
  <si>
    <t>Factures Créancier à payer en 2019</t>
  </si>
  <si>
    <t>x</t>
  </si>
  <si>
    <t>xx.xx.xx</t>
  </si>
  <si>
    <t>EURO</t>
  </si>
  <si>
    <t>CHF</t>
  </si>
  <si>
    <t>1867</t>
  </si>
  <si>
    <t>Compte</t>
  </si>
  <si>
    <t>compte2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</si>
</sst>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2" fontId="0" fillId="0" borderId="0" xfId="0" applyNumberFormat="1"/>
    <xf numFmtId="49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6" fillId="0" borderId="0" xfId="0" applyNumberFormat="1" applyFont="1"/>
    <xf numFmtId="2" fontId="7" fillId="0" borderId="0" xfId="0" applyNumberFormat="1" applyFont="1"/>
    <xf numFmtId="2" fontId="8" fillId="0" borderId="0" xfId="0" applyNumberFormat="1" applyFont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2" fontId="9" fillId="0" borderId="0" xfId="0" applyNumberFormat="1" applyFont="1"/>
    <xf numFmtId="2" fontId="10" fillId="0" borderId="0" xfId="0" applyNumberFormat="1" applyFont="1"/>
    <xf numFmtId="49" fontId="9" fillId="0" borderId="0" xfId="0" applyNumberFormat="1" applyFont="1"/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49" fontId="10" fillId="0" borderId="0" xfId="0" applyNumberFormat="1" applyFont="1"/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5" fillId="0" borderId="0" xfId="0" applyNumberFormat="1" applyFont="1"/>
    <xf numFmtId="2" fontId="13" fillId="0" borderId="0" xfId="0" applyNumberFormat="1" applyFont="1"/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1" fontId="1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49" fontId="0" fillId="2" borderId="0" xfId="0" applyNumberFormat="1" applyFill="1"/>
    <xf numFmtId="1" fontId="17" fillId="0" borderId="0" xfId="0" applyNumberFormat="1" applyFont="1" applyAlignment="1">
      <alignment horizontal="right"/>
    </xf>
    <xf numFmtId="2" fontId="18" fillId="0" borderId="0" xfId="0" applyNumberFormat="1" applyFont="1"/>
    <xf numFmtId="49" fontId="19" fillId="0" borderId="0" xfId="0" applyNumberFormat="1" applyFont="1"/>
    <xf numFmtId="49" fontId="18" fillId="0" borderId="0" xfId="0" applyNumberFormat="1" applyFont="1"/>
    <xf numFmtId="2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14" fontId="2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2" fontId="22" fillId="0" borderId="0" xfId="0" applyNumberFormat="1" applyFont="1"/>
    <xf numFmtId="2" fontId="23" fillId="0" borderId="0" xfId="0" applyNumberFormat="1" applyFont="1"/>
    <xf numFmtId="2" fontId="24" fillId="0" borderId="0" xfId="0" applyNumberFormat="1" applyFont="1"/>
    <xf numFmtId="0" fontId="18" fillId="0" borderId="0" xfId="0" applyFont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2" fontId="0" fillId="11" borderId="1" xfId="0" applyNumberFormat="1" applyFill="1" applyBorder="1" applyAlignment="1">
      <alignment horizontal="center" vertical="center" wrapText="1"/>
    </xf>
    <xf numFmtId="2" fontId="19" fillId="11" borderId="1" xfId="0" applyNumberFormat="1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1" borderId="1" xfId="0" applyNumberForma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  <xf numFmtId="2" fontId="2" fillId="24" borderId="1" xfId="0" applyNumberFormat="1" applyFont="1" applyFill="1" applyBorder="1" applyAlignment="1">
      <alignment horizontal="center" vertical="center" wrapText="1"/>
    </xf>
    <xf numFmtId="2" fontId="0" fillId="24" borderId="1" xfId="0" applyNumberForma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1" fontId="3" fillId="25" borderId="0" xfId="0" applyNumberFormat="1" applyFont="1" applyFill="1" applyAlignment="1">
      <alignment horizontal="center" wrapText="1"/>
    </xf>
    <xf numFmtId="2" fontId="4" fillId="25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left" wrapText="1"/>
    </xf>
    <xf numFmtId="2" fontId="25" fillId="0" borderId="0" xfId="0" applyNumberFormat="1" applyFont="1" applyAlignment="1">
      <alignment horizont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4" fontId="2" fillId="24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0" fillId="26" borderId="0" xfId="0" applyNumberFormat="1" applyFill="1" applyAlignment="1">
      <alignment horizontal="center" vertical="center" wrapText="1"/>
    </xf>
    <xf numFmtId="2" fontId="0" fillId="24" borderId="1" xfId="0" applyNumberFormat="1" applyFill="1" applyBorder="1" applyAlignment="1">
      <alignment horizontal="right" vertical="center" wrapText="1"/>
    </xf>
    <xf numFmtId="0" fontId="0" fillId="24" borderId="1" xfId="0" applyFill="1" applyBorder="1" applyAlignment="1">
      <alignment horizontal="left" vertical="center"/>
    </xf>
    <xf numFmtId="14" fontId="0" fillId="24" borderId="1" xfId="0" applyNumberFormat="1" applyFill="1" applyBorder="1" applyAlignment="1">
      <alignment horizontal="center" vertical="center"/>
    </xf>
    <xf numFmtId="1" fontId="2" fillId="24" borderId="1" xfId="0" applyNumberFormat="1" applyFont="1" applyFill="1" applyBorder="1" applyAlignment="1">
      <alignment horizontal="center" vertical="center" wrapText="1"/>
    </xf>
    <xf numFmtId="1" fontId="2" fillId="2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left"/>
    </xf>
    <xf numFmtId="2" fontId="2" fillId="25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0" xfId="0" applyFont="1"/>
    <xf numFmtId="14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/>
    </xf>
    <xf numFmtId="2" fontId="1" fillId="0" borderId="0" xfId="0" applyNumberFormat="1" applyFont="1" applyAlignment="1">
      <alignment horizontal="left"/>
    </xf>
    <xf numFmtId="2" fontId="4" fillId="0" borderId="0" xfId="0" applyNumberFormat="1" applyFont="1"/>
    <xf numFmtId="2" fontId="26" fillId="17" borderId="0" xfId="0" applyNumberFormat="1" applyFont="1" applyFill="1" applyAlignment="1">
      <alignment horizontal="right"/>
    </xf>
    <xf numFmtId="2" fontId="27" fillId="0" borderId="0" xfId="0" applyNumberFormat="1" applyFont="1" applyAlignment="1">
      <alignment horizontal="center"/>
    </xf>
    <xf numFmtId="2" fontId="2" fillId="17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2" fontId="0" fillId="15" borderId="0" xfId="0" applyNumberFormat="1" applyFill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2" fillId="11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2" fontId="0" fillId="0" borderId="0" xfId="0" applyNumberFormat="1" applyFont="1"/>
    <xf numFmtId="14" fontId="13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left"/>
    </xf>
    <xf numFmtId="1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/>
    <xf numFmtId="1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" fontId="10" fillId="0" borderId="0" xfId="0" applyNumberFormat="1" applyFont="1" applyFill="1" applyAlignment="1">
      <alignment horizontal="left"/>
    </xf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2" fontId="10" fillId="0" borderId="0" xfId="0" applyNumberFormat="1" applyFont="1" applyFill="1" applyAlignment="1">
      <alignment horizontal="right"/>
    </xf>
    <xf numFmtId="2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2" fontId="15" fillId="0" borderId="0" xfId="0" applyNumberFormat="1" applyFont="1" applyFill="1"/>
    <xf numFmtId="2" fontId="6" fillId="0" borderId="0" xfId="0" applyNumberFormat="1" applyFont="1" applyFill="1"/>
    <xf numFmtId="2" fontId="10" fillId="0" borderId="0" xfId="0" applyNumberFormat="1" applyFont="1" applyFill="1"/>
    <xf numFmtId="164" fontId="10" fillId="0" borderId="0" xfId="0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center"/>
    </xf>
    <xf numFmtId="1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/>
    <xf numFmtId="49" fontId="0" fillId="0" borderId="0" xfId="0" applyNumberFormat="1" applyFont="1" applyFill="1"/>
  </cellXfs>
  <cellStyles count="1">
    <cellStyle name="Normal" xfId="0" builtinId="0"/>
  </cellStyles>
  <dxfs count="260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00206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30" formatCode="@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F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2" formatCode="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9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9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" formatCode="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6D4823-C36D-4E94-8A12-00ECEA76CA97}" name="Tableau3383" displayName="Tableau3383" ref="A10:DH77" totalsRowShown="0" dataDxfId="259">
  <autoFilter ref="A10:DH77" xr:uid="{00000000-0009-0000-0100-000001000000}"/>
  <sortState xmlns:xlrd2="http://schemas.microsoft.com/office/spreadsheetml/2017/richdata2" ref="A12:DH77">
    <sortCondition ref="B10:B77"/>
  </sortState>
  <tableColumns count="112">
    <tableColumn id="1" xr3:uid="{97BB5716-43D9-495E-92B0-CAC8331C988E}" name="n° facture" dataDxfId="257" totalsRowDxfId="258"/>
    <tableColumn id="2" xr3:uid="{B53F6D04-2D81-4C7B-A840-E9F73005D79C}" name="Date de la_x000a_facture" dataDxfId="255" totalsRowDxfId="256"/>
    <tableColumn id="3" xr3:uid="{071996C5-FB2A-4C27-9FC5-8B9DBE7E5A28}" name="DATE RECU" dataDxfId="253" totalsRowDxfId="254"/>
    <tableColumn id="4" xr3:uid="{F8023113-71B8-415D-9EC7-2E3B7ED0620F}" name="Créancier" dataDxfId="251" totalsRowDxfId="252"/>
    <tableColumn id="5" xr3:uid="{1547F9D1-E901-43D4-BA6B-82C0D1E36151}" name="Montant HT" dataDxfId="249" totalsRowDxfId="250">
      <calculatedColumnFormula>SUM(Tableau3383[[#This Row],[Promerka
Group
TEMP]:[Coffre Fort]])</calculatedColumnFormula>
    </tableColumn>
    <tableColumn id="6" xr3:uid="{23CF1AE1-BD58-402C-A1A1-9448C02FBA35}" name="Montant_x000a_TTC_x000a_CHF" dataDxfId="247" totalsRowDxfId="248"/>
    <tableColumn id="87" xr3:uid="{3AEEEE80-4431-4F48-9AF4-1043C75F036A}" name="Compte" dataDxfId="246"/>
    <tableColumn id="85" xr3:uid="{7D114B28-3E01-4C2E-97BF-80951AE37327}" name="Escomptes_x000a_CHF" dataDxfId="244" totalsRowDxfId="245"/>
    <tableColumn id="83" xr3:uid="{54123799-DFA6-46AA-9BDE-ABEDE4B5E0CF}" name="Change € &gt; CH" dataDxfId="242" totalsRowDxfId="243"/>
    <tableColumn id="7" xr3:uid="{39505808-36AD-44D7-9553-9AC6E56ABA3C}" name="Montant_x000a_€" dataDxfId="240" totalsRowDxfId="241"/>
    <tableColumn id="8" xr3:uid="{41C31E40-E576-482F-94F9-075513C307A5}" name="TVA %_x000a_inclus" dataDxfId="238" totalsRowDxfId="239"/>
    <tableColumn id="9" xr3:uid="{91BFE092-5BEA-4E0A-9FBD-5FD87396F8FC}" name="Échéance" dataDxfId="236" totalsRowDxfId="237"/>
    <tableColumn id="10" xr3:uid="{88927C6C-B2D9-4D97-B087-2240011FCE40}" name="Teilbetrag_x000a_Gesamtbetrag bei Teilung" dataDxfId="234" totalsRowDxfId="235"/>
    <tableColumn id="11" xr3:uid="{E26FCA6D-688E-469A-A551-701193FF2200}" name="Commentaire_x000a_paiement" dataDxfId="232" totalsRowDxfId="233"/>
    <tableColumn id="12" xr3:uid="{B7CF2E61-9B2C-43F4-A9AB-F59387424BB8}" name="Fällig_x000a_SEIT" dataDxfId="230" totalsRowDxfId="231">
      <calculatedColumnFormula>IF(Tableau3383[[#This Row],[payée le
reçu le]]="",$N$1-Tableau3383[[#This Row],[Échéance]],"")</calculatedColumnFormula>
    </tableColumn>
    <tableColumn id="95" xr3:uid="{84C0D864-6E54-4EF3-B301-1E91BA56229E}" name="pour_x000a_formule" dataDxfId="228" totalsRowDxfId="229">
      <calculatedColumnFormula>IF(Tableau3383[[#This Row],[payée le
reçu le]]="",Tableau3383[[#This Row],[Montant
TTC
CHF]],"")</calculatedColumnFormula>
    </tableColumn>
    <tableColumn id="111" xr3:uid="{F4DFC9CD-1C7E-4ED4-BFCE-E2C502AE568A}" name="ETAT_x000a_per_x000a_31.12.18" dataDxfId="226" totalsRowDxfId="227"/>
    <tableColumn id="109" xr3:uid="{2B4AE1CC-C4BD-4404-BF3B-2D69737CB5A5}" name="compte2" dataDxfId="225"/>
    <tableColumn id="13" xr3:uid="{696C25D3-C070-4A56-812C-5DE7DE9C2BE6}" name="payée le_x000a_reçu le" dataDxfId="223" totalsRowDxfId="224"/>
    <tableColumn id="14" xr3:uid="{189055E6-1EBC-453B-91DD-8864D84FC936}" name="payée_x000a_PAR" dataDxfId="221" totalsRowDxfId="222"/>
    <tableColumn id="15" xr3:uid="{A3F835A6-5740-4F76-B7C0-CB1F3565DF50}" name="Société" dataDxfId="219" totalsRowDxfId="220"/>
    <tableColumn id="16" xr3:uid="{A1ED2323-4638-498E-95BA-5893A314BE7A}" name="POUR" dataDxfId="217" totalsRowDxfId="218"/>
    <tableColumn id="17" xr3:uid="{F920E9C6-4287-4B97-8D43-B05E4B5CF255}" name="Commentaire" dataDxfId="215" totalsRowDxfId="216"/>
    <tableColumn id="18" xr3:uid="{B363EE55-7C2F-4541-8515-4371C88E2DF7}" name="Promerka_x000a_Group_x000a_TEMP" dataDxfId="213" totalsRowDxfId="214"/>
    <tableColumn id="104" xr3:uid="{A382723C-B94F-4BA0-A62D-7E66B382C94D}" name="Gabriel privé" dataDxfId="212"/>
    <tableColumn id="102" xr3:uid="{3BC93A4D-7266-4002-A63E-B54DFBBAA07A}" name="Frais SS" dataDxfId="210" totalsRowDxfId="211"/>
    <tableColumn id="19" xr3:uid="{03AC26DB-F9AA-472C-9E45-C48169CF7A31}" name="Prêt_x000a_Credits" dataDxfId="208" totalsRowDxfId="209"/>
    <tableColumn id="20" xr3:uid="{6579F6E6-79E1-4578-B19C-B8DCB45FF79C}" name="Promerka Group" dataDxfId="206" totalsRowDxfId="207"/>
    <tableColumn id="21" xr3:uid="{F1778511-D5B9-4ABC-92D0-953E29041E7A}" name="Sourcing,_x000a_Management_x000a_Pro Group" dataDxfId="204" totalsRowDxfId="205"/>
    <tableColumn id="76" xr3:uid="{039FE7B0-3502-4A19-8C91-B37ED298D50B}" name="Conseils &amp; Gestion financière" dataDxfId="202" totalsRowDxfId="203"/>
    <tableColumn id="22" xr3:uid="{3F5728AF-7CDF-47AC-B164-964DB88E795E}" name="Frais de _x000a_representation" dataDxfId="200" totalsRowDxfId="201"/>
    <tableColumn id="23" xr3:uid="{978DCF1A-F9DB-4B7B-A320-1B9805F81BCD}" name="Restaurant" dataDxfId="198" totalsRowDxfId="199"/>
    <tableColumn id="99" xr3:uid="{C531568F-A2B9-429D-8B0E-80CBF86AD85E}" name="Frais Monteurs_x000a_Deplacement_x000a_Montage" dataDxfId="197"/>
    <tableColumn id="24" xr3:uid="{7A6B276C-C6A4-49B2-9544-9E01FBA09FF2}" name="Werbungs_x000a_kosten_x000a_Kataloge" dataDxfId="195" totalsRowDxfId="196"/>
    <tableColumn id="68" xr3:uid="{3F4B5FBC-CFB6-45DD-972B-C724C6F97EE0}" name="Architekten_x000a_Projekte" dataDxfId="193" totalsRowDxfId="194"/>
    <tableColumn id="94" xr3:uid="{06165DF7-B3F5-4473-ADE5-7C2B92698194}" name="Sponsoring" dataDxfId="191" totalsRowDxfId="192"/>
    <tableColumn id="90" xr3:uid="{26BB4CB5-FD7D-4180-BB94-AB71A854B91D}" name="Formation intern" dataDxfId="189" totalsRowDxfId="190"/>
    <tableColumn id="82" xr3:uid="{542B97FE-D6C4-4BD2-8426-48CD92A1E313}" name="Commission" dataDxfId="187" totalsRowDxfId="188"/>
    <tableColumn id="25" xr3:uid="{673681FB-0BBF-4CCE-812C-097C7479C4A6}" name="Mitarbeiter_x000a_Kosten_x000a_ohne SALAIRE INTERN" dataDxfId="185" totalsRowDxfId="186"/>
    <tableColumn id="98" xr3:uid="{F6B533EF-ECFD-4EFE-8EDE-97E192EA92DC}" name="Salaires_x000a_Avance salaires" dataDxfId="183" totalsRowDxfId="184"/>
    <tableColumn id="26" xr3:uid="{DEB57A15-8EB0-4E41-90B8-0F2234259067}" name="Caisse Pension_x000a_TELLCO" dataDxfId="181" totalsRowDxfId="182"/>
    <tableColumn id="27" xr3:uid="{EDDD0C40-2E98-443A-97A9-EFDCCFC3DB6B}" name="fpV Caisse AVS_x000a_Cotisations" dataDxfId="179" totalsRowDxfId="180"/>
    <tableColumn id="28" xr3:uid="{13A6DA19-E3AC-4B3F-8E38-E832A9FC344E}" name="Impots à_x000a_la source" dataDxfId="177" totalsRowDxfId="178"/>
    <tableColumn id="29" xr3:uid="{9622EA05-80E2-418E-8FEF-1ACADE7889B3}" name="Mutuel_x000a_LCA" dataDxfId="175" totalsRowDxfId="176"/>
    <tableColumn id="30" xr3:uid="{B3F560FA-795B-4FE7-9D7D-FE39AC327364}" name="Nebenkosten_x000a_Assurance_x000a_Mitarbeiter" dataDxfId="173" totalsRowDxfId="174"/>
    <tableColumn id="31" xr3:uid="{ABB180B3-804C-4B0F-933E-F633EB1D8960}" name="ASS_x000a_RC" dataDxfId="171" totalsRowDxfId="172"/>
    <tableColumn id="32" xr3:uid="{542275E1-1C72-44EF-AD45-B571268EA20F}" name="Assurances_x000a_Intern_x000a_Loyer, choses, incendie" dataDxfId="169" totalsRowDxfId="170"/>
    <tableColumn id="89" xr3:uid="{6062489B-D7FE-4CD9-AA50-ADF31DB25CF4}" name="Leasing" dataDxfId="167" totalsRowDxfId="168"/>
    <tableColumn id="91" xr3:uid="{196A6432-6271-4F4B-9C89-3A35665EA6E1}" name="Achat vehicules" dataDxfId="165" totalsRowDxfId="166"/>
    <tableColumn id="49" xr3:uid="{6F6D7CEB-351E-475F-8B21-3A8BB121D0C2}" name="Parking" dataDxfId="164"/>
    <tableColumn id="33" xr3:uid="{31287BDA-56C7-47D9-A676-735BA83E7154}" name="Frais Vehicules" dataDxfId="162" totalsRowDxfId="163"/>
    <tableColumn id="34" xr3:uid="{489345EA-E431-4A2C-97F7-1A8A30929A2B}" name="Diesel_x000a_Vehicules" dataDxfId="160" totalsRowDxfId="161"/>
    <tableColumn id="35" xr3:uid="{8239423E-16F8-4489-AC32-DA369078E8C1}" name="Location_x000a_Bureau_x000a_Depot_x000a_Parking" dataDxfId="158" totalsRowDxfId="159"/>
    <tableColumn id="112" xr3:uid="{3FCF914D-7FF6-49DB-81F3-5A0E04A81DA9}" name="Getränke_x000a_Mitarbeiter" dataDxfId="156" totalsRowDxfId="157"/>
    <tableColumn id="36" xr3:uid="{CE2FE51E-BA99-45B9-B13E-C46F6D739AB2}" name="Matériel bureau_x000a_intern" dataDxfId="154" totalsRowDxfId="155"/>
    <tableColumn id="37" xr3:uid="{47B30E24-6D63-4AE9-88DA-5C30D1FEC36C}" name="Matériel_x000a_Depot_x000a_Montage" dataDxfId="152" totalsRowDxfId="153"/>
    <tableColumn id="39" xr3:uid="{AEBA57CB-49DC-4853-8EF1-1470A8946518}" name="Telephone _x000a_&amp; Internet_x000a_intern" dataDxfId="150" totalsRowDxfId="151"/>
    <tableColumn id="40" xr3:uid="{93332C89-00D5-4473-9EFD-8C77C0A596FE}" name="WEB/MAIL_x000a_Homepage_x000a_Domaine_x000a_Informatique" dataDxfId="148" totalsRowDxfId="149"/>
    <tableColumn id="41" xr3:uid="{6D50956A-77C8-4AAF-ADED-874709C93E9A}" name="WINBIZ_x000a_&amp; Server" dataDxfId="146" totalsRowDxfId="147"/>
    <tableColumn id="42" xr3:uid="{7EE214FD-A87F-48B6-AF06-F801BF0989E8}" name="Electricité" dataDxfId="144" totalsRowDxfId="145"/>
    <tableColumn id="43" xr3:uid="{6C5A1B76-3E07-48C6-B75E-498B79BC5E03}" name="Chauffage" dataDxfId="142" totalsRowDxfId="143"/>
    <tableColumn id="88" xr3:uid="{FCEEC245-63E2-47AF-A83C-9B54CD677E09}" name="Frais bancaire_x000a_SumUp_x000a_Aduno_x000a_PostFinance" dataDxfId="140" totalsRowDxfId="141"/>
    <tableColumn id="44" xr3:uid="{3C8C7A09-92E0-4DCD-95DE-CCC3B0B18758}" name="Taxe Div_x000a_restigre du commerce" dataDxfId="138" totalsRowDxfId="139"/>
    <tableColumn id="46" xr3:uid="{8B859B92-8CFD-49E3-AA43-D04D92F3311D}" name="Strafen_x000a_Intérêts_x000a_intern" dataDxfId="136" totalsRowDxfId="137"/>
    <tableColumn id="47" xr3:uid="{09912D0F-CBE8-4370-8AF4-AA6D87AFADF0}" name="Dechets_x000a_reclyclage ELEKTRO_x000a_" dataDxfId="134" totalsRowDxfId="135"/>
    <tableColumn id="48" xr3:uid="{231032DA-C828-48D6-AE10-E7CD27B1E6F4}" name="Fiducaire_x000a_Compta" dataDxfId="132" totalsRowDxfId="133"/>
    <tableColumn id="50" xr3:uid="{2F734A2D-5ADB-4144-A475-FCAD1D88BAF3}" name="Impôt sur _x000a_le benefice et le_x000a_capital" dataDxfId="130" totalsRowDxfId="131"/>
    <tableColumn id="51" xr3:uid="{CD8BEFB3-0C23-4735-A7C0-B89D93785F0B}" name="Impots _x000a_Federal_x000a_Direct" dataDxfId="128" totalsRowDxfId="129"/>
    <tableColumn id="100" xr3:uid="{46B365A6-C65C-48A7-AB8C-3CEE4F4F4159}" name="TVA" dataDxfId="126" totalsRowDxfId="127"/>
    <tableColumn id="52" xr3:uid="{88E598C5-1270-40B4-8523-BA1CB8C4B465}" name="TVA_x000a_(Einfuhr_x000a_AFD)" dataDxfId="124" totalsRowDxfId="125"/>
    <tableColumn id="45" xr3:uid="{A98E4D9A-CCDE-4278-828A-82F87F240709}" name="Garantie_x000a_AFD" dataDxfId="122" totalsRowDxfId="123"/>
    <tableColumn id="53" xr3:uid="{20E77184-E0C5-4662-B8F4-DDB74C449A45}" name="Einfuhr_x000a_Spesen" dataDxfId="120" totalsRowDxfId="121"/>
    <tableColumn id="54" xr3:uid="{CCB9C7BC-38D9-4136-873A-C0DB1D60B4BA}" name="Dedouanement CH_x000a_GERLACH" dataDxfId="118" totalsRowDxfId="119"/>
    <tableColumn id="55" xr3:uid="{29725EB4-8545-4D86-AE72-23B5DBFB4CF7}" name="Rückvergütungen_x000a_Kunden" dataDxfId="116" totalsRowDxfId="117"/>
    <tableColumn id="86" xr3:uid="{229F145D-6E8D-42A1-912A-F958F204408B}" name="Frachtkosten_x000a_Lieferant_x000a_International" dataDxfId="114" totalsRowDxfId="115"/>
    <tableColumn id="56" xr3:uid="{4A473E98-8F34-4416-B1CA-946102E6C81F}" name="Frachtkosten_x000a_Lieferant_x000a_National" dataDxfId="112" totalsRowDxfId="113"/>
    <tableColumn id="57" xr3:uid="{07D17B6A-DFF4-4E4E-9987-A9FA54151960}" name="Post_x000a_Pakete &amp;_x000a_Briefe_x000a_Kunden" dataDxfId="110" totalsRowDxfId="111"/>
    <tableColumn id="58" xr3:uid="{455D0B26-C0C1-4E57-8F8E-74065C1BD2E4}" name="Post_x000a_Pakete &amp;_x000a_Briefe_x000a_intern" dataDxfId="109"/>
    <tableColumn id="59" xr3:uid="{CA6468A2-0B76-42F7-AC5E-39EB18818ECA}" name="Frachtkosten_x000a_Kunden" dataDxfId="107" totalsRowDxfId="108"/>
    <tableColumn id="108" xr3:uid="{370C56E9-CE49-4438-9A10-7235CC6CAE44}" name="Accoustic MOSS" dataDxfId="106"/>
    <tableColumn id="60" xr3:uid="{75D1EFE2-62CE-4205-92F8-1FAAB777D46A}" name="CAFE_x000a_&amp;_x000a_Zubehör" dataDxfId="104" totalsRowDxfId="105"/>
    <tableColumn id="61" xr3:uid="{91DDCBBC-CD48-4D09-9A47-76A16CB52E0F}" name="Kauf &amp;_x000a_Wartung_x000a_Kaffee-_x000a_maschinen" dataDxfId="103"/>
    <tableColumn id="81" xr3:uid="{DB329226-E273-47B8-B41C-692DE09E39F7}" name="Wasser_x000a_Coca" dataDxfId="101" totalsRowDxfId="102"/>
    <tableColumn id="80" xr3:uid="{2F5008BB-B57F-47BA-ACF9-757752ECA105}" name="Limonade" dataDxfId="99" totalsRowDxfId="100"/>
    <tableColumn id="63" xr3:uid="{4CE68B26-BB67-427F-BBE4-DA714F47908B}" name="MAT Bureau_x000a_allgemein" dataDxfId="97" totalsRowDxfId="98"/>
    <tableColumn id="64" xr3:uid="{7F3C50D1-13D7-4308-8B04-8AFD8D68BC36}" name="Mat Bureau_x000a_Tableaux" dataDxfId="95" totalsRowDxfId="96"/>
    <tableColumn id="101" xr3:uid="{6D5DE948-7CFA-446C-B83C-AC86E2028210}" name="Armoire séchante" dataDxfId="94"/>
    <tableColumn id="65" xr3:uid="{2BB47197-F1DE-43B8-A404-3470EC7D57AB}" name="Biertische_x000a_Regal Mikael_x000a_Mülltonnen_x000a_Cendrier" dataDxfId="92" totalsRowDxfId="93"/>
    <tableColumn id="106" xr3:uid="{E6792678-3B4E-46AE-81FC-488423C2EF1A}" name="Sitag_x000a_Meubles" dataDxfId="91"/>
    <tableColumn id="107" xr3:uid="{9F8F25F3-E4DD-4D77-BCFC-DB71424CA3F2}" name="Equimenents pro" dataDxfId="90"/>
    <tableColumn id="62" xr3:uid="{39446A88-45C4-4D57-A74A-CE60A0BA6FEA}" name="Lave-Bottes" dataDxfId="89"/>
    <tableColumn id="66" xr3:uid="{2790DB53-B22C-4E37-911B-A4FCFDAD8D50}" name="Schränke" dataDxfId="87" totalsRowDxfId="88"/>
    <tableColumn id="67" xr3:uid="{3AFA804F-AC83-4D35-833D-C4BE50CD4A1E}" name="Vestiares_x000a_Garderoben_x000a_Bänke" dataDxfId="85" totalsRowDxfId="86"/>
    <tableColumn id="110" xr3:uid="{A200C619-3D6B-44B5-8D18-67A38F623706}" name="Chaises" dataDxfId="83" totalsRowDxfId="84"/>
    <tableColumn id="69" xr3:uid="{FD56A4FF-B7C8-492D-963E-8BC1FE2349F0}" name="Tables_x000a_Caissons" dataDxfId="81" totalsRowDxfId="82"/>
    <tableColumn id="96" xr3:uid="{31603F10-11B1-4A70-B484-94C1AF7FEA38}" name="Separations_x000a_Screens" dataDxfId="79" totalsRowDxfId="80"/>
    <tableColumn id="92" xr3:uid="{C73C7250-8D16-4D13-85DB-3706D04B2EBA}" name="Lits &amp; Matelas_x000a_&amp; Bettzeug" dataDxfId="77" totalsRowDxfId="78"/>
    <tableColumn id="103" xr3:uid="{FFB85B1D-A592-42FF-A3BE-7F98813C1130}" name="Küche_x000a_Bac collectif_x000a_Herdplatten" dataDxfId="75" totalsRowDxfId="76"/>
    <tableColumn id="70" xr3:uid="{8A830FA4-887D-4F5D-AF5D-BEB12D30C254}" name="Elektro_x000a_&amp; BAU_x000a_4" dataDxfId="73" totalsRowDxfId="74"/>
    <tableColumn id="97" xr3:uid="{834D56A4-D7AC-4547-B9A1-8D45EA32BC53}" name="Klimageräte_x000a_Ventilateurs" dataDxfId="72"/>
    <tableColumn id="71" xr3:uid="{D2C63416-99DD-4DAF-A59C-9DE79DD26EF1}" name="Heizlüfter_x000a_Heizen" dataDxfId="70" totalsRowDxfId="71"/>
    <tableColumn id="72" xr3:uid="{45DA55EC-4CB5-4233-BE0B-B4A8BBCC5450}" name="Arbeits-_x000a_kleidung" dataDxfId="68" totalsRowDxfId="69"/>
    <tableColumn id="73" xr3:uid="{1C30BDEC-0F07-4742-9F78-A2086CF8716C}" name="Haushalts-_x000a_E-Geräte_x000a_Grills" dataDxfId="66" totalsRowDxfId="67"/>
    <tableColumn id="74" xr3:uid="{162BBEEB-EC26-492F-ABAD-6C35AF36443A}" name="Hubwagen" dataDxfId="65"/>
    <tableColumn id="93" xr3:uid="{3BF840B2-0854-4C1D-BB9E-32B881765B66}" name="Werkstatt &amp; Industrie" dataDxfId="63" totalsRowDxfId="64"/>
    <tableColumn id="38" xr3:uid="{80156C8C-7E36-4432-8BB7-ED9FEF2267BF}" name="Aspirateurs" dataDxfId="61" totalsRowDxfId="62"/>
    <tableColumn id="75" xr3:uid="{8A08B571-6338-4001-BFC6-CDE81695684D}" name="Nettoyage_x000a_Hygiene" dataDxfId="60"/>
    <tableColumn id="105" xr3:uid="{7BB4F2FC-6901-4059-80C8-E78DB5CE9128}" name="Geschirr" dataDxfId="58" totalsRowDxfId="59"/>
    <tableColumn id="77" xr3:uid="{0254612A-F2EE-4099-BCA6-4EDD3B67812C}" name="Kleinmaterial" dataDxfId="56" totalsRowDxfId="57"/>
    <tableColumn id="78" xr3:uid="{C7CA6AC9-29E1-4F2B-8E6B-BF3AB10C3B39}" name="Service_x000a_Clients_x000a_Faute INT" dataDxfId="54" totalsRowDxfId="55"/>
    <tableColumn id="84" xr3:uid="{B26C9966-07FF-4201-8C05-80E672C00F75}" name="Service Externe" dataDxfId="52" totalsRowDxfId="53"/>
    <tableColumn id="79" xr3:uid="{CB6FF6E9-92EE-466F-B269-0D47D89D2431}" name="Coffre Fort" dataDxfId="50" totalsRowDxfId="5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ABD5-6626-4264-95CB-0A714B4D082B}">
  <sheetPr>
    <pageSetUpPr fitToPage="1"/>
  </sheetPr>
  <dimension ref="A1:IF84"/>
  <sheetViews>
    <sheetView tabSelected="1" zoomScaleNormal="100" workbookViewId="0">
      <pane xSplit="23" ySplit="10" topLeftCell="X65" activePane="bottomRight" state="frozen"/>
      <selection pane="topRight" activeCell="U1" sqref="U1"/>
      <selection pane="bottomLeft" activeCell="A11" sqref="A11"/>
      <selection pane="bottomRight" activeCell="G75" sqref="G75"/>
    </sheetView>
  </sheetViews>
  <sheetFormatPr baseColWidth="10" defaultRowHeight="15" outlineLevelCol="1" x14ac:dyDescent="0.25"/>
  <cols>
    <col min="1" max="1" width="14.28515625" style="18" customWidth="1"/>
    <col min="2" max="2" width="11.140625" style="10" customWidth="1"/>
    <col min="3" max="3" width="13.140625" style="10" customWidth="1"/>
    <col min="4" max="4" width="39.7109375" style="17" customWidth="1"/>
    <col min="5" max="5" width="10.140625" style="16" customWidth="1"/>
    <col min="6" max="6" width="11" style="15" customWidth="1"/>
    <col min="7" max="7" width="8.5703125" style="14" customWidth="1"/>
    <col min="8" max="8" width="6.28515625" style="13" customWidth="1" outlineLevel="1"/>
    <col min="9" max="9" width="7.7109375" style="12" customWidth="1" outlineLevel="1"/>
    <col min="10" max="10" width="8.5703125" style="12" customWidth="1" outlineLevel="1"/>
    <col min="11" max="11" width="6.28515625" style="11" customWidth="1" outlineLevel="1"/>
    <col min="12" max="12" width="11.42578125" style="10" customWidth="1" outlineLevel="1"/>
    <col min="13" max="13" width="11" style="1" customWidth="1" outlineLevel="1"/>
    <col min="14" max="14" width="11.28515625" style="4" customWidth="1"/>
    <col min="15" max="15" width="5.5703125" style="9" customWidth="1" outlineLevel="1"/>
    <col min="16" max="16" width="7.5703125" style="8" customWidth="1" outlineLevel="1"/>
    <col min="17" max="17" width="7.28515625" style="7" customWidth="1" outlineLevel="1"/>
    <col min="18" max="18" width="6.28515625" style="6" customWidth="1" outlineLevel="1"/>
    <col min="19" max="19" width="10.140625" style="5" customWidth="1"/>
    <col min="20" max="20" width="6.5703125" style="4" customWidth="1"/>
    <col min="21" max="21" width="4.7109375" style="3" customWidth="1"/>
    <col min="22" max="22" width="11.7109375" style="2" customWidth="1"/>
    <col min="23" max="23" width="14.140625" style="2" customWidth="1"/>
    <col min="24" max="24" width="14" customWidth="1"/>
    <col min="25" max="26" width="11.5703125" customWidth="1"/>
    <col min="27" max="27" width="11.42578125" style="1" customWidth="1"/>
    <col min="28" max="28" width="11" style="1" customWidth="1"/>
    <col min="29" max="31" width="11.42578125" style="1" customWidth="1"/>
    <col min="32" max="33" width="12.7109375" style="1" customWidth="1"/>
    <col min="34" max="35" width="11.42578125" style="1" customWidth="1"/>
    <col min="36" max="38" width="13" customWidth="1"/>
    <col min="39" max="40" width="11.42578125" style="1" customWidth="1"/>
    <col min="41" max="41" width="12.42578125" style="1" customWidth="1"/>
    <col min="42" max="46" width="11.42578125" style="1" customWidth="1"/>
    <col min="47" max="54" width="11.42578125" customWidth="1"/>
    <col min="55" max="56" width="11.42578125" style="1" customWidth="1"/>
    <col min="57" max="62" width="11.42578125" customWidth="1"/>
    <col min="63" max="63" width="13.140625" customWidth="1"/>
    <col min="64" max="70" width="11.42578125" customWidth="1"/>
    <col min="71" max="71" width="9" customWidth="1"/>
    <col min="72" max="72" width="8" customWidth="1"/>
    <col min="73" max="73" width="10.85546875" customWidth="1"/>
    <col min="74" max="74" width="11.42578125" customWidth="1"/>
    <col min="75" max="79" width="13.42578125" customWidth="1"/>
    <col min="80" max="98" width="11.42578125" customWidth="1"/>
    <col min="104" max="106" width="12.5703125" customWidth="1"/>
    <col min="112" max="112" width="11.5703125" customWidth="1"/>
  </cols>
  <sheetData>
    <row r="1" spans="1:112" ht="23.25" customHeight="1" x14ac:dyDescent="0.3">
      <c r="A1" s="142" t="s">
        <v>243</v>
      </c>
      <c r="D1" s="141"/>
      <c r="N1" s="137">
        <f ca="1">NOW()</f>
        <v>43592.616536805559</v>
      </c>
      <c r="U1" s="140" t="s">
        <v>51</v>
      </c>
      <c r="V1" s="2" t="s">
        <v>3</v>
      </c>
    </row>
    <row r="2" spans="1:112" ht="15.75" customHeight="1" x14ac:dyDescent="0.25">
      <c r="A2" s="123"/>
      <c r="C2" s="139"/>
      <c r="D2" s="138"/>
      <c r="K2" s="11" t="s">
        <v>51</v>
      </c>
      <c r="L2" s="137" t="s">
        <v>242</v>
      </c>
      <c r="U2" s="3" t="s">
        <v>241</v>
      </c>
      <c r="V2" s="2" t="s">
        <v>240</v>
      </c>
    </row>
    <row r="3" spans="1:112" ht="15.75" customHeight="1" x14ac:dyDescent="0.25">
      <c r="A3" s="18" t="s">
        <v>239</v>
      </c>
      <c r="C3" s="139">
        <f>SUM(E:E)</f>
        <v>52397.070159544339</v>
      </c>
      <c r="D3" s="138"/>
      <c r="K3" s="11" t="s">
        <v>238</v>
      </c>
      <c r="L3" s="137" t="s">
        <v>237</v>
      </c>
      <c r="U3" s="136"/>
      <c r="V3" s="2" t="s">
        <v>236</v>
      </c>
    </row>
    <row r="4" spans="1:112" x14ac:dyDescent="0.25">
      <c r="A4" s="135" t="s">
        <v>235</v>
      </c>
      <c r="C4" s="7">
        <f>SUM(F:F)</f>
        <v>117629.29499999997</v>
      </c>
      <c r="D4" s="134"/>
      <c r="F4" s="129"/>
      <c r="L4" s="13" t="s">
        <v>234</v>
      </c>
      <c r="M4" s="14"/>
      <c r="U4" s="7" t="s">
        <v>233</v>
      </c>
      <c r="V4" s="2" t="s">
        <v>232</v>
      </c>
      <c r="W4" s="133">
        <f>SUM(X4:DH4)</f>
        <v>52397.070159544353</v>
      </c>
      <c r="X4" s="1">
        <f>SUM(X11:X105)</f>
        <v>0</v>
      </c>
      <c r="Y4" s="1">
        <f>SUM(Y11:Y105)</f>
        <v>3.09</v>
      </c>
      <c r="Z4" s="1">
        <f>SUM(Z11:Z105)</f>
        <v>0</v>
      </c>
      <c r="AA4" s="1">
        <f>SUM(AA11:AA105)</f>
        <v>0</v>
      </c>
      <c r="AB4" s="1">
        <f>SUM(AB11:AB105)</f>
        <v>0</v>
      </c>
      <c r="AC4" s="1">
        <f>SUM(AC11:AC105)</f>
        <v>0</v>
      </c>
      <c r="AD4" s="1">
        <f>SUM(AD11:AD105)</f>
        <v>0</v>
      </c>
      <c r="AE4" s="1">
        <f>SUM(AE11:AE105)</f>
        <v>0</v>
      </c>
      <c r="AF4" s="1">
        <f>SUM(AF11:AF105)</f>
        <v>0</v>
      </c>
      <c r="AG4" s="1">
        <f>SUM(AG11:AG105)</f>
        <v>0</v>
      </c>
      <c r="AH4" s="1">
        <f>SUM(AH11:AH105)</f>
        <v>0</v>
      </c>
      <c r="AI4" s="1">
        <f>SUM(AI11:AI105)</f>
        <v>0</v>
      </c>
      <c r="AJ4" s="1">
        <f>SUM(AJ11:AJ105)</f>
        <v>0</v>
      </c>
      <c r="AK4" s="1">
        <f>SUM(AK11:AK105)</f>
        <v>0</v>
      </c>
      <c r="AL4" s="1">
        <f>SUM(AL11:AL105)</f>
        <v>0</v>
      </c>
      <c r="AM4" s="1">
        <f>SUM(AM11:AM105)</f>
        <v>90.1</v>
      </c>
      <c r="AN4" s="1">
        <f>SUM(AN11:AN105)</f>
        <v>0</v>
      </c>
      <c r="AO4" s="1">
        <f>SUM(AO11:AO105)</f>
        <v>-2934.6999999999994</v>
      </c>
      <c r="AP4" s="1">
        <f>SUM(AP11:AP105)</f>
        <v>0</v>
      </c>
      <c r="AQ4" s="1">
        <f>SUM(AQ11:AQ105)</f>
        <v>2409.25</v>
      </c>
      <c r="AR4" s="1">
        <f>SUM(AR11:AR105)</f>
        <v>0</v>
      </c>
      <c r="AS4" s="1">
        <f>SUM(AS11:AS105)</f>
        <v>0</v>
      </c>
      <c r="AT4" s="1">
        <f>SUM(AT11:AT105)</f>
        <v>0</v>
      </c>
      <c r="AU4" s="1">
        <f>SUM(AU11:AU105)</f>
        <v>0</v>
      </c>
      <c r="AV4" s="1">
        <f>SUM(AV11:AV105)</f>
        <v>0</v>
      </c>
      <c r="AW4" s="1">
        <f>SUM(AW11:AW105)</f>
        <v>0</v>
      </c>
      <c r="AX4" s="1">
        <f>SUM(AX11:AX105)</f>
        <v>0</v>
      </c>
      <c r="AY4" s="1">
        <f>SUM(AY11:AY105)</f>
        <v>0</v>
      </c>
      <c r="AZ4" s="1">
        <f>SUM(AZ11:AZ105)</f>
        <v>0</v>
      </c>
      <c r="BA4" s="1">
        <f>SUM(BA11:BA105)</f>
        <v>0</v>
      </c>
      <c r="BB4" s="1">
        <f>SUM(BB11:BB105)</f>
        <v>0</v>
      </c>
      <c r="BC4" s="1">
        <f>SUM(BC11:BC105)</f>
        <v>27.5</v>
      </c>
      <c r="BD4" s="1">
        <f>SUM(BD11:BD105)</f>
        <v>0</v>
      </c>
      <c r="BE4" s="1">
        <f>SUM(BE11:BE105)</f>
        <v>301.60000000000002</v>
      </c>
      <c r="BF4" s="1">
        <f>SUM(BF11:BF105)</f>
        <v>0</v>
      </c>
      <c r="BG4" s="1">
        <f>SUM(BG11:BG105)</f>
        <v>0</v>
      </c>
      <c r="BH4" s="1">
        <f>SUM(BH11:BH105)</f>
        <v>0</v>
      </c>
      <c r="BI4" s="1">
        <f>SUM(BI11:BI105)</f>
        <v>0</v>
      </c>
      <c r="BJ4" s="1">
        <f>SUM(BJ11:BJ105)</f>
        <v>0</v>
      </c>
      <c r="BK4" s="1">
        <f>SUM(BK11:BK105)</f>
        <v>0</v>
      </c>
      <c r="BL4" s="1">
        <f>SUM(BL11:BL105)</f>
        <v>0</v>
      </c>
      <c r="BM4" s="1">
        <f>SUM(BM11:BM105)</f>
        <v>71.912720519962861</v>
      </c>
      <c r="BN4" s="1">
        <f>SUM(BN11:BN105)</f>
        <v>1000</v>
      </c>
      <c r="BO4" s="1">
        <f>SUM(BO11:BO105)</f>
        <v>271.79999999999995</v>
      </c>
      <c r="BP4" s="1">
        <f>SUM(BP11:BP105)</f>
        <v>0</v>
      </c>
      <c r="BQ4" s="1">
        <f>SUM(BQ11:BQ105)</f>
        <v>0</v>
      </c>
      <c r="BR4" s="1">
        <f>SUM(BR11:BR105)</f>
        <v>6914.7499999999991</v>
      </c>
      <c r="BS4" s="1">
        <f>SUM(BS11:BS105)</f>
        <v>0</v>
      </c>
      <c r="BT4" s="1">
        <f>SUM(BT11:BT105)</f>
        <v>58.6</v>
      </c>
      <c r="BU4" s="1">
        <f>SUM(BU11:BU105)</f>
        <v>190</v>
      </c>
      <c r="BV4" s="1">
        <f>SUM(BV11:BV105)</f>
        <v>0</v>
      </c>
      <c r="BW4" s="1">
        <f>SUM(BW11:BW105)</f>
        <v>4738.2999999999993</v>
      </c>
      <c r="BX4" s="1">
        <f>SUM(BX11:BX105)</f>
        <v>11.9</v>
      </c>
      <c r="BY4" s="1">
        <f>SUM(BY11:BY105)</f>
        <v>0</v>
      </c>
      <c r="BZ4" s="1">
        <f>SUM(BZ11:BZ105)</f>
        <v>0</v>
      </c>
      <c r="CA4" s="1">
        <f>SUM(CA11:CA105)</f>
        <v>1776</v>
      </c>
      <c r="CB4" s="1">
        <f>SUM(CB11:CB105)</f>
        <v>0</v>
      </c>
      <c r="CC4" s="1">
        <f>SUM(CC11:CC105)</f>
        <v>702.40243902439033</v>
      </c>
      <c r="CD4" s="1">
        <f>SUM(CD11:CD105)</f>
        <v>0</v>
      </c>
      <c r="CE4" s="1">
        <f>SUM(CE11:CE105)</f>
        <v>15.84</v>
      </c>
      <c r="CF4" s="1">
        <f>SUM(CF11:CF105)</f>
        <v>0</v>
      </c>
      <c r="CG4" s="1">
        <f>SUM(CG11:CG105)</f>
        <v>867.13000000000011</v>
      </c>
      <c r="CH4" s="1">
        <f>SUM(CH11:CH105)</f>
        <v>143.53</v>
      </c>
      <c r="CI4" s="1">
        <f>SUM(CI11:CI105)</f>
        <v>1253.086</v>
      </c>
      <c r="CJ4" s="1">
        <f>SUM(CJ11:CJ105)</f>
        <v>487.73999999999995</v>
      </c>
      <c r="CK4" s="1">
        <f>SUM(CK11:CK105)</f>
        <v>0</v>
      </c>
      <c r="CL4" s="1">
        <f>SUM(CL11:CL105)</f>
        <v>0</v>
      </c>
      <c r="CM4" s="1">
        <f>SUM(CM11:CM105)</f>
        <v>0</v>
      </c>
      <c r="CN4" s="1">
        <f>SUM(CN11:CN105)</f>
        <v>8734.134</v>
      </c>
      <c r="CO4" s="1">
        <f>SUM(CO11:CO105)</f>
        <v>3830.2859999999996</v>
      </c>
      <c r="CP4" s="1">
        <f>SUM(CP11:CP105)</f>
        <v>1074.6749999999997</v>
      </c>
      <c r="CQ4" s="1">
        <f>SUM(CQ11:CQ105)</f>
        <v>5416.661399999999</v>
      </c>
      <c r="CR4" s="1">
        <f>SUM(CR11:CR105)</f>
        <v>0</v>
      </c>
      <c r="CS4" s="1">
        <f>SUM(CS11:CS105)</f>
        <v>0</v>
      </c>
      <c r="CT4" s="1">
        <f>SUM(CT11:CT105)</f>
        <v>0</v>
      </c>
      <c r="CU4" s="1">
        <f>SUM(CU11:CU105)</f>
        <v>343.28999999999996</v>
      </c>
      <c r="CV4" s="1">
        <f>SUM(CV11:CV105)</f>
        <v>217.3</v>
      </c>
      <c r="CW4" s="1">
        <f>SUM(CW11:CW105)</f>
        <v>0</v>
      </c>
      <c r="CX4" s="1">
        <f>SUM(CX11:CX105)</f>
        <v>0</v>
      </c>
      <c r="CY4" s="1">
        <f>SUM(CY11:CY105)</f>
        <v>5631.2</v>
      </c>
      <c r="CZ4" s="1">
        <f>SUM(CZ11:CZ105)</f>
        <v>0</v>
      </c>
      <c r="DA4" s="1">
        <f>SUM(DA11:DA105)</f>
        <v>3014.6925999999999</v>
      </c>
      <c r="DB4" s="1">
        <f>SUM(DB11:DB105)</f>
        <v>5735</v>
      </c>
      <c r="DC4" s="1">
        <f>SUM(DC11:DC105)</f>
        <v>0</v>
      </c>
      <c r="DD4" s="1">
        <f>SUM(DD11:DD105)</f>
        <v>0</v>
      </c>
      <c r="DE4" s="1">
        <f>SUM(DE11:DE105)</f>
        <v>0</v>
      </c>
      <c r="DF4" s="1">
        <f>SUM(DF11:DF105)</f>
        <v>0</v>
      </c>
      <c r="DG4" s="1">
        <f>SUM(DG11:DG105)</f>
        <v>0</v>
      </c>
      <c r="DH4" s="1">
        <f>SUM(DH11:DH105)</f>
        <v>0</v>
      </c>
    </row>
    <row r="5" spans="1:112" x14ac:dyDescent="0.25">
      <c r="A5" s="126" t="s">
        <v>231</v>
      </c>
      <c r="B5" s="132"/>
      <c r="C5" s="131">
        <v>199120.51847400001</v>
      </c>
      <c r="D5" s="130" t="s">
        <v>230</v>
      </c>
      <c r="E5" s="129"/>
      <c r="L5" s="121" t="s">
        <v>229</v>
      </c>
      <c r="M5" s="14"/>
      <c r="U5" s="128"/>
      <c r="V5" s="2" t="s">
        <v>228</v>
      </c>
      <c r="X5" s="124"/>
      <c r="Y5" s="124"/>
      <c r="Z5" s="124"/>
      <c r="AA5" s="15"/>
      <c r="AB5" s="15"/>
      <c r="AC5" s="15"/>
      <c r="AD5" s="15"/>
      <c r="AE5" s="15"/>
      <c r="AF5" s="15"/>
      <c r="AG5" s="15"/>
      <c r="AH5" s="15"/>
      <c r="AI5" s="15"/>
      <c r="AM5" s="15"/>
      <c r="AN5" s="15"/>
      <c r="AO5" s="15"/>
      <c r="AP5" s="15"/>
      <c r="AQ5" s="15"/>
      <c r="AR5" s="15"/>
      <c r="AS5" s="15"/>
      <c r="AT5" s="15"/>
      <c r="BC5" s="15"/>
      <c r="BD5" s="15"/>
    </row>
    <row r="6" spans="1:112" x14ac:dyDescent="0.25">
      <c r="A6" s="126" t="s">
        <v>227</v>
      </c>
      <c r="D6" s="127">
        <v>546.45000000000005</v>
      </c>
      <c r="L6" s="120"/>
      <c r="M6" s="14"/>
      <c r="U6" s="7" t="s">
        <v>226</v>
      </c>
      <c r="V6" s="2" t="s">
        <v>225</v>
      </c>
      <c r="X6" s="124"/>
      <c r="Y6" s="124"/>
      <c r="Z6" s="124"/>
      <c r="AA6" s="15"/>
      <c r="AB6" s="15"/>
      <c r="AC6" s="15"/>
      <c r="AD6" s="15"/>
      <c r="AE6" s="15"/>
      <c r="AF6" s="15"/>
      <c r="AG6" s="15"/>
      <c r="AH6" s="15"/>
      <c r="AI6" s="15"/>
      <c r="AM6" s="15"/>
      <c r="AN6" s="15"/>
      <c r="AO6" s="15"/>
      <c r="AP6" s="15"/>
      <c r="AQ6" s="15"/>
      <c r="AR6" s="15"/>
      <c r="AS6" s="15"/>
      <c r="AT6" s="15"/>
      <c r="BC6" s="15"/>
      <c r="BD6" s="15"/>
    </row>
    <row r="7" spans="1:112" x14ac:dyDescent="0.25">
      <c r="A7" s="126" t="s">
        <v>224</v>
      </c>
      <c r="B7" s="125"/>
      <c r="C7" s="120">
        <f>C4-C5</f>
        <v>-81491.223474000042</v>
      </c>
      <c r="D7" s="121"/>
      <c r="E7" s="121"/>
      <c r="G7" s="15"/>
      <c r="H7" s="15"/>
      <c r="I7" s="1"/>
      <c r="L7" s="14" t="s">
        <v>223</v>
      </c>
      <c r="M7" s="15">
        <f>SUM(H:H)</f>
        <v>72.25</v>
      </c>
      <c r="U7" s="7"/>
      <c r="X7" s="124"/>
      <c r="Y7" s="124"/>
      <c r="Z7" s="124"/>
      <c r="AA7" s="15"/>
      <c r="AB7" s="15"/>
      <c r="AC7" s="15"/>
      <c r="AD7" s="15"/>
      <c r="AE7" s="15"/>
      <c r="AF7" s="15"/>
      <c r="AG7" s="15"/>
      <c r="AH7" s="15"/>
      <c r="AI7" s="15"/>
      <c r="AM7" s="15"/>
      <c r="AN7" s="15"/>
      <c r="AO7" s="15"/>
      <c r="AP7" s="15"/>
      <c r="AQ7" s="15"/>
      <c r="AR7" s="15"/>
      <c r="AS7" s="15"/>
      <c r="AT7" s="15"/>
      <c r="BC7" s="15"/>
      <c r="BD7" s="15"/>
    </row>
    <row r="8" spans="1:112" x14ac:dyDescent="0.25">
      <c r="A8" s="123" t="s">
        <v>222</v>
      </c>
      <c r="B8" s="7"/>
      <c r="C8" s="122">
        <f>SUM(P:P)</f>
        <v>57307.02499999998</v>
      </c>
      <c r="E8" s="121"/>
      <c r="G8" s="120"/>
      <c r="H8" s="120"/>
      <c r="I8" s="1"/>
      <c r="L8" s="121"/>
      <c r="M8" s="120"/>
      <c r="U8" s="7"/>
    </row>
    <row r="9" spans="1:112" s="115" customFormat="1" x14ac:dyDescent="0.25">
      <c r="E9" s="119"/>
      <c r="H9" s="118"/>
      <c r="I9" s="12"/>
      <c r="J9" s="117"/>
      <c r="O9" s="9"/>
      <c r="Q9" s="116"/>
      <c r="R9" s="6"/>
      <c r="S9" s="116"/>
    </row>
    <row r="10" spans="1:112" ht="57" customHeight="1" x14ac:dyDescent="0.25">
      <c r="A10" s="114" t="s">
        <v>221</v>
      </c>
      <c r="B10" s="113" t="s">
        <v>220</v>
      </c>
      <c r="C10" s="112" t="s">
        <v>219</v>
      </c>
      <c r="D10" s="111" t="s">
        <v>218</v>
      </c>
      <c r="E10" s="110" t="s">
        <v>217</v>
      </c>
      <c r="F10" s="94" t="s">
        <v>216</v>
      </c>
      <c r="G10" s="109" t="s">
        <v>249</v>
      </c>
      <c r="H10" s="108" t="s">
        <v>215</v>
      </c>
      <c r="I10" s="107" t="s">
        <v>214</v>
      </c>
      <c r="J10" s="107" t="s">
        <v>213</v>
      </c>
      <c r="K10" s="106" t="s">
        <v>212</v>
      </c>
      <c r="L10" s="105" t="s">
        <v>211</v>
      </c>
      <c r="M10" s="104" t="s">
        <v>210</v>
      </c>
      <c r="N10" s="103" t="s">
        <v>209</v>
      </c>
      <c r="O10" s="102" t="s">
        <v>208</v>
      </c>
      <c r="P10" s="101" t="s">
        <v>207</v>
      </c>
      <c r="Q10" s="100" t="s">
        <v>206</v>
      </c>
      <c r="R10" s="99" t="s">
        <v>250</v>
      </c>
      <c r="S10" s="98" t="s">
        <v>205</v>
      </c>
      <c r="T10" s="97" t="s">
        <v>204</v>
      </c>
      <c r="U10" s="96" t="s">
        <v>203</v>
      </c>
      <c r="V10" s="95" t="s">
        <v>202</v>
      </c>
      <c r="W10" s="94" t="s">
        <v>201</v>
      </c>
      <c r="X10" s="93" t="s">
        <v>200</v>
      </c>
      <c r="Y10" s="93" t="s">
        <v>199</v>
      </c>
      <c r="Z10" s="92" t="s">
        <v>112</v>
      </c>
      <c r="AA10" s="91" t="s">
        <v>198</v>
      </c>
      <c r="AB10" s="90" t="s">
        <v>197</v>
      </c>
      <c r="AC10" s="89" t="s">
        <v>196</v>
      </c>
      <c r="AD10" s="89" t="s">
        <v>195</v>
      </c>
      <c r="AE10" s="89" t="s">
        <v>194</v>
      </c>
      <c r="AF10" s="89" t="s">
        <v>193</v>
      </c>
      <c r="AG10" s="89" t="s">
        <v>192</v>
      </c>
      <c r="AH10" s="89" t="s">
        <v>191</v>
      </c>
      <c r="AI10" s="89" t="s">
        <v>190</v>
      </c>
      <c r="AJ10" s="88" t="s">
        <v>189</v>
      </c>
      <c r="AK10" s="88" t="s">
        <v>188</v>
      </c>
      <c r="AL10" s="88" t="s">
        <v>187</v>
      </c>
      <c r="AM10" s="86" t="s">
        <v>186</v>
      </c>
      <c r="AN10" s="86" t="s">
        <v>185</v>
      </c>
      <c r="AO10" s="86" t="s">
        <v>184</v>
      </c>
      <c r="AP10" s="86" t="s">
        <v>183</v>
      </c>
      <c r="AQ10" s="87" t="s">
        <v>182</v>
      </c>
      <c r="AR10" s="87" t="s">
        <v>181</v>
      </c>
      <c r="AS10" s="86" t="s">
        <v>180</v>
      </c>
      <c r="AT10" s="79" t="s">
        <v>179</v>
      </c>
      <c r="AU10" s="79" t="s">
        <v>178</v>
      </c>
      <c r="AV10" s="79" t="s">
        <v>177</v>
      </c>
      <c r="AW10" s="79" t="s">
        <v>176</v>
      </c>
      <c r="AX10" s="79" t="s">
        <v>175</v>
      </c>
      <c r="AY10" s="79" t="s">
        <v>174</v>
      </c>
      <c r="AZ10" s="66" t="s">
        <v>173</v>
      </c>
      <c r="BA10" s="79" t="s">
        <v>172</v>
      </c>
      <c r="BB10" s="85" t="s">
        <v>171</v>
      </c>
      <c r="BC10" s="84" t="s">
        <v>170</v>
      </c>
      <c r="BD10" s="84" t="s">
        <v>169</v>
      </c>
      <c r="BE10" s="79" t="s">
        <v>168</v>
      </c>
      <c r="BF10" s="79" t="s">
        <v>167</v>
      </c>
      <c r="BG10" s="79" t="s">
        <v>166</v>
      </c>
      <c r="BH10" s="79" t="s">
        <v>165</v>
      </c>
      <c r="BI10" s="79" t="s">
        <v>164</v>
      </c>
      <c r="BJ10" s="79" t="s">
        <v>163</v>
      </c>
      <c r="BK10" s="79" t="s">
        <v>162</v>
      </c>
      <c r="BL10" s="83" t="s">
        <v>161</v>
      </c>
      <c r="BM10" s="82" t="s">
        <v>160</v>
      </c>
      <c r="BN10" s="72" t="s">
        <v>159</v>
      </c>
      <c r="BO10" s="81" t="s">
        <v>158</v>
      </c>
      <c r="BP10" s="81" t="s">
        <v>157</v>
      </c>
      <c r="BQ10" s="81" t="s">
        <v>0</v>
      </c>
      <c r="BR10" s="81" t="s">
        <v>156</v>
      </c>
      <c r="BS10" s="81" t="s">
        <v>155</v>
      </c>
      <c r="BT10" s="81" t="s">
        <v>154</v>
      </c>
      <c r="BU10" s="81" t="s">
        <v>153</v>
      </c>
      <c r="BV10" s="69" t="s">
        <v>152</v>
      </c>
      <c r="BW10" s="80" t="s">
        <v>151</v>
      </c>
      <c r="BX10" s="80" t="s">
        <v>150</v>
      </c>
      <c r="BY10" s="78" t="s">
        <v>149</v>
      </c>
      <c r="BZ10" s="79" t="s">
        <v>148</v>
      </c>
      <c r="CA10" s="78" t="s">
        <v>147</v>
      </c>
      <c r="CB10" s="73" t="s">
        <v>146</v>
      </c>
      <c r="CC10" s="77" t="s">
        <v>145</v>
      </c>
      <c r="CD10" s="77" t="s">
        <v>144</v>
      </c>
      <c r="CE10" s="77" t="s">
        <v>143</v>
      </c>
      <c r="CF10" s="77" t="s">
        <v>142</v>
      </c>
      <c r="CG10" s="76" t="s">
        <v>141</v>
      </c>
      <c r="CH10" s="76" t="s">
        <v>140</v>
      </c>
      <c r="CI10" s="75" t="s">
        <v>139</v>
      </c>
      <c r="CJ10" s="74" t="s">
        <v>138</v>
      </c>
      <c r="CK10" s="73" t="s">
        <v>137</v>
      </c>
      <c r="CL10" s="66" t="s">
        <v>136</v>
      </c>
      <c r="CM10" s="66" t="s">
        <v>135</v>
      </c>
      <c r="CN10" s="72" t="s">
        <v>134</v>
      </c>
      <c r="CO10" s="72" t="s">
        <v>133</v>
      </c>
      <c r="CP10" s="72" t="s">
        <v>132</v>
      </c>
      <c r="CQ10" s="72" t="s">
        <v>131</v>
      </c>
      <c r="CR10" s="72" t="s">
        <v>130</v>
      </c>
      <c r="CS10" s="72" t="s">
        <v>129</v>
      </c>
      <c r="CT10" s="72" t="s">
        <v>128</v>
      </c>
      <c r="CU10" s="71" t="s">
        <v>127</v>
      </c>
      <c r="CV10" s="71" t="s">
        <v>126</v>
      </c>
      <c r="CW10" s="71" t="s">
        <v>125</v>
      </c>
      <c r="CX10" s="71" t="s">
        <v>124</v>
      </c>
      <c r="CY10" s="71" t="s">
        <v>123</v>
      </c>
      <c r="CZ10" s="71" t="s">
        <v>122</v>
      </c>
      <c r="DA10" s="70" t="s">
        <v>121</v>
      </c>
      <c r="DB10" s="69" t="s">
        <v>120</v>
      </c>
      <c r="DC10" s="69" t="s">
        <v>119</v>
      </c>
      <c r="DD10" s="69" t="s">
        <v>118</v>
      </c>
      <c r="DE10" s="68" t="s">
        <v>117</v>
      </c>
      <c r="DF10" s="67" t="s">
        <v>116</v>
      </c>
      <c r="DG10" s="67" t="s">
        <v>115</v>
      </c>
      <c r="DH10" s="66" t="s">
        <v>114</v>
      </c>
    </row>
    <row r="11" spans="1:112" hidden="1" x14ac:dyDescent="0.25">
      <c r="A11" s="46">
        <v>1176812</v>
      </c>
      <c r="B11" s="40">
        <v>43479</v>
      </c>
      <c r="C11" s="40">
        <v>43483</v>
      </c>
      <c r="D11" s="45" t="s">
        <v>7</v>
      </c>
      <c r="E11" s="44">
        <f>SUM(Tableau3383[[#This Row],[Promerka
Group
TEMP]:[Coffre Fort]])</f>
        <v>3.09</v>
      </c>
      <c r="F11" s="43">
        <v>3.25</v>
      </c>
      <c r="G11" s="43"/>
      <c r="I11" s="42"/>
      <c r="K11" s="41">
        <v>7.7</v>
      </c>
      <c r="L11" s="40">
        <v>43509</v>
      </c>
      <c r="M11" s="20"/>
      <c r="N11" s="36"/>
      <c r="O11" s="9" t="str">
        <f>IF(Tableau3383[[#This Row],[payée le
reçu le]]="",$N$1-Tableau3383[[#This Row],[Échéance]],"")</f>
        <v/>
      </c>
      <c r="P11" s="39" t="str">
        <f>IF(Tableau3383[[#This Row],[payée le
reçu le]]="",Tableau3383[[#This Row],[Montant
TTC
CHF]],"")</f>
        <v/>
      </c>
      <c r="Q11" s="38"/>
      <c r="S11" s="144" t="s">
        <v>245</v>
      </c>
      <c r="T11" s="145" t="s">
        <v>84</v>
      </c>
      <c r="U11" s="35"/>
      <c r="V11" s="34" t="s">
        <v>14</v>
      </c>
      <c r="W11" s="50" t="s">
        <v>84</v>
      </c>
      <c r="X11" s="20"/>
      <c r="Y11" s="20">
        <v>3.09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</row>
    <row r="12" spans="1:112" x14ac:dyDescent="0.25">
      <c r="A12" s="46">
        <v>5375768555</v>
      </c>
      <c r="B12" s="40">
        <v>43497</v>
      </c>
      <c r="C12" s="40">
        <v>43497</v>
      </c>
      <c r="D12" s="45" t="s">
        <v>1</v>
      </c>
      <c r="E12" s="44">
        <f>SUM(Tableau3383[[#This Row],[Promerka
Group
TEMP]:[Coffre Fort]])</f>
        <v>375.7</v>
      </c>
      <c r="F12" s="43">
        <v>375.7</v>
      </c>
      <c r="G12" s="147">
        <v>2003</v>
      </c>
      <c r="I12" s="42"/>
      <c r="K12" s="41">
        <v>100</v>
      </c>
      <c r="L12" s="40">
        <v>43557</v>
      </c>
      <c r="M12" s="20"/>
      <c r="N12" s="36"/>
      <c r="O12" s="9">
        <f ca="1">IF(Tableau3383[[#This Row],[payée le
reçu le]]="",$N$1-Tableau3383[[#This Row],[Échéance]],"")</f>
        <v>35.616536805559008</v>
      </c>
      <c r="P12" s="39">
        <f>IF(Tableau3383[[#This Row],[payée le
reçu le]]="",Tableau3383[[#This Row],[Montant
TTC
CHF]],"")</f>
        <v>375.7</v>
      </c>
      <c r="Q12" s="38"/>
      <c r="S12" s="37"/>
      <c r="T12" s="36"/>
      <c r="U12" s="35"/>
      <c r="V12" s="34" t="s">
        <v>0</v>
      </c>
      <c r="W12" s="2" t="s">
        <v>81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>
        <v>375.7</v>
      </c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</row>
    <row r="13" spans="1:112" x14ac:dyDescent="0.25">
      <c r="A13" s="46">
        <v>1185639</v>
      </c>
      <c r="B13" s="40">
        <v>43497</v>
      </c>
      <c r="C13" s="40">
        <v>43503</v>
      </c>
      <c r="D13" s="45" t="s">
        <v>7</v>
      </c>
      <c r="E13" s="44">
        <f>SUM(Tableau3383[[#This Row],[Promerka
Group
TEMP]:[Coffre Fort]])</f>
        <v>0.94</v>
      </c>
      <c r="F13" s="43">
        <v>0.95</v>
      </c>
      <c r="G13" s="149">
        <v>2000</v>
      </c>
      <c r="I13" s="42"/>
      <c r="K13" s="41">
        <v>7.7</v>
      </c>
      <c r="L13" s="40">
        <v>43527</v>
      </c>
      <c r="M13" s="20"/>
      <c r="N13" s="36"/>
      <c r="O13" s="9">
        <f ca="1">IF(Tableau3383[[#This Row],[payée le
reçu le]]="",$N$1-Tableau3383[[#This Row],[Échéance]],"")</f>
        <v>65.616536805559008</v>
      </c>
      <c r="P13" s="39">
        <f>IF(Tableau3383[[#This Row],[payée le
reçu le]]="",Tableau3383[[#This Row],[Montant
TTC
CHF]],"")</f>
        <v>0.95</v>
      </c>
      <c r="Q13" s="38"/>
      <c r="S13" s="37"/>
      <c r="T13" s="36"/>
      <c r="U13" s="35"/>
      <c r="V13" s="34" t="s">
        <v>2</v>
      </c>
      <c r="W13" s="2" t="s">
        <v>113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>
        <v>0.94</v>
      </c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</row>
    <row r="14" spans="1:112" x14ac:dyDescent="0.25">
      <c r="A14" s="46">
        <v>5375785532</v>
      </c>
      <c r="B14" s="40">
        <v>43501</v>
      </c>
      <c r="C14" s="40">
        <v>43501</v>
      </c>
      <c r="D14" s="45" t="s">
        <v>1</v>
      </c>
      <c r="E14" s="44">
        <f>SUM(Tableau3383[[#This Row],[Promerka
Group
TEMP]:[Coffre Fort]])</f>
        <v>342.2</v>
      </c>
      <c r="F14" s="43">
        <v>342.2</v>
      </c>
      <c r="G14" s="147">
        <v>2003</v>
      </c>
      <c r="I14" s="42"/>
      <c r="K14" s="41">
        <v>100</v>
      </c>
      <c r="L14" s="40">
        <v>43563</v>
      </c>
      <c r="M14" s="20"/>
      <c r="N14" s="36"/>
      <c r="O14" s="9">
        <f ca="1">IF(Tableau3383[[#This Row],[payée le
reçu le]]="",$N$1-Tableau3383[[#This Row],[Échéance]],"")</f>
        <v>29.616536805559008</v>
      </c>
      <c r="P14" s="39">
        <f>IF(Tableau3383[[#This Row],[payée le
reçu le]]="",Tableau3383[[#This Row],[Montant
TTC
CHF]],"")</f>
        <v>342.2</v>
      </c>
      <c r="Q14" s="38"/>
      <c r="S14" s="37"/>
      <c r="T14" s="36"/>
      <c r="U14" s="35"/>
      <c r="V14" s="34" t="s">
        <v>0</v>
      </c>
      <c r="W14" s="2" t="s">
        <v>80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>
        <v>342.2</v>
      </c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</row>
    <row r="15" spans="1:112" x14ac:dyDescent="0.25">
      <c r="A15" s="46" t="s">
        <v>111</v>
      </c>
      <c r="B15" s="40">
        <v>43501</v>
      </c>
      <c r="C15" s="40">
        <v>43501</v>
      </c>
      <c r="D15" s="45" t="s">
        <v>106</v>
      </c>
      <c r="E15" s="44">
        <f>SUM(Tableau3383[[#This Row],[Promerka
Group
TEMP]:[Coffre Fort]])</f>
        <v>2862.97</v>
      </c>
      <c r="F15" s="15">
        <f>3333.42-250</f>
        <v>3083.42</v>
      </c>
      <c r="G15" s="149">
        <v>2000</v>
      </c>
      <c r="I15" s="42"/>
      <c r="K15" s="41">
        <v>7.7</v>
      </c>
      <c r="L15" s="40">
        <v>43529</v>
      </c>
      <c r="M15" s="20"/>
      <c r="N15" s="36" t="s">
        <v>110</v>
      </c>
      <c r="O15" s="9">
        <f ca="1">IF(Tableau3383[[#This Row],[payée le
reçu le]]="",$N$1-Tableau3383[[#This Row],[Échéance]],"")</f>
        <v>63.616536805559008</v>
      </c>
      <c r="P15" s="39">
        <f>IF(Tableau3383[[#This Row],[payée le
reçu le]]="",Tableau3383[[#This Row],[Montant
TTC
CHF]],"")</f>
        <v>3083.42</v>
      </c>
      <c r="Q15" s="38"/>
      <c r="S15" s="37"/>
      <c r="T15" s="36"/>
      <c r="U15" s="35"/>
      <c r="V15" s="34" t="s">
        <v>2</v>
      </c>
      <c r="W15" s="2" t="s">
        <v>109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>
        <f>3095.1-232.13</f>
        <v>2862.97</v>
      </c>
      <c r="DB15" s="20"/>
      <c r="DC15" s="20"/>
      <c r="DD15" s="20"/>
      <c r="DE15" s="20"/>
      <c r="DF15" s="20"/>
      <c r="DG15" s="20"/>
      <c r="DH15" s="20"/>
    </row>
    <row r="16" spans="1:112" x14ac:dyDescent="0.25">
      <c r="A16" s="46">
        <v>1188033</v>
      </c>
      <c r="B16" s="40">
        <v>43503</v>
      </c>
      <c r="C16" s="40">
        <v>43508</v>
      </c>
      <c r="D16" s="45" t="s">
        <v>7</v>
      </c>
      <c r="E16" s="44">
        <f>SUM(Tableau3383[[#This Row],[Promerka
Group
TEMP]:[Coffre Fort]])</f>
        <v>2.4</v>
      </c>
      <c r="F16" s="43">
        <v>2.5499999999999998</v>
      </c>
      <c r="G16" s="149">
        <v>2000</v>
      </c>
      <c r="I16" s="42"/>
      <c r="K16" s="41">
        <v>7.7</v>
      </c>
      <c r="L16" s="40">
        <v>43533</v>
      </c>
      <c r="M16" s="20"/>
      <c r="N16" s="36"/>
      <c r="O16" s="9">
        <f ca="1">IF(Tableau3383[[#This Row],[payée le
reçu le]]="",$N$1-Tableau3383[[#This Row],[Échéance]],"")</f>
        <v>59.616536805559008</v>
      </c>
      <c r="P16" s="39">
        <f>IF(Tableau3383[[#This Row],[payée le
reçu le]]="",Tableau3383[[#This Row],[Montant
TTC
CHF]],"")</f>
        <v>2.5499999999999998</v>
      </c>
      <c r="Q16" s="38"/>
      <c r="S16" s="37"/>
      <c r="T16" s="36"/>
      <c r="U16" s="35"/>
      <c r="V16" s="34" t="s">
        <v>2</v>
      </c>
      <c r="W16" s="2" t="s">
        <v>108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>
        <v>2.4</v>
      </c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</row>
    <row r="17" spans="1:112" x14ac:dyDescent="0.25">
      <c r="A17" s="46">
        <v>5375801682</v>
      </c>
      <c r="B17" s="40">
        <v>43504</v>
      </c>
      <c r="C17" s="40">
        <v>43504</v>
      </c>
      <c r="D17" s="45" t="s">
        <v>1</v>
      </c>
      <c r="E17" s="44">
        <f>SUM(Tableau3383[[#This Row],[Promerka
Group
TEMP]:[Coffre Fort]])</f>
        <v>1341.5</v>
      </c>
      <c r="F17" s="43">
        <v>1341.5</v>
      </c>
      <c r="G17" s="147">
        <v>2003</v>
      </c>
      <c r="I17" s="42"/>
      <c r="K17" s="41">
        <v>100</v>
      </c>
      <c r="L17" s="40">
        <v>43564</v>
      </c>
      <c r="M17" s="20"/>
      <c r="N17" s="36"/>
      <c r="O17" s="9">
        <f ca="1">IF(Tableau3383[[#This Row],[payée le
reçu le]]="",$N$1-Tableau3383[[#This Row],[Échéance]],"")</f>
        <v>28.616536805559008</v>
      </c>
      <c r="P17" s="39">
        <f>IF(Tableau3383[[#This Row],[payée le
reçu le]]="",Tableau3383[[#This Row],[Montant
TTC
CHF]],"")</f>
        <v>1341.5</v>
      </c>
      <c r="Q17" s="38"/>
      <c r="S17" s="37"/>
      <c r="T17" s="36"/>
      <c r="U17" s="35"/>
      <c r="V17" s="34" t="s">
        <v>0</v>
      </c>
      <c r="W17" s="2" t="s">
        <v>79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>
        <v>1341.5</v>
      </c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</row>
    <row r="18" spans="1:112" x14ac:dyDescent="0.25">
      <c r="A18" s="18" t="s">
        <v>104</v>
      </c>
      <c r="B18" s="10">
        <v>43504</v>
      </c>
      <c r="C18" s="60">
        <v>43479</v>
      </c>
      <c r="D18" s="65" t="s">
        <v>103</v>
      </c>
      <c r="E18" s="44">
        <f>SUM(Tableau3383[[#This Row],[Promerka
Group
TEMP]:[Coffre Fort]])</f>
        <v>0</v>
      </c>
      <c r="F18" s="64">
        <f>Tableau3383[[#This Row],[Montant
€]]*Tableau3383[[#This Row],[Change € &gt; CH]]</f>
        <v>3541.9999999999995</v>
      </c>
      <c r="G18" s="146">
        <v>2002</v>
      </c>
      <c r="H18" s="64"/>
      <c r="I18" s="63">
        <v>1.1499999999999999</v>
      </c>
      <c r="J18" s="62">
        <f>6160/2</f>
        <v>3080</v>
      </c>
      <c r="K18" s="61">
        <v>0</v>
      </c>
      <c r="L18" s="60">
        <v>43525</v>
      </c>
      <c r="M18" s="52"/>
      <c r="N18" s="56"/>
      <c r="O18" s="51">
        <f ca="1">IF(Tableau3383[[#This Row],[payée le
reçu le]]="",$N$1-Tableau3383[[#This Row],[Échéance]],"")</f>
        <v>67.616536805559008</v>
      </c>
      <c r="P18" s="39">
        <f>IF(Tableau3383[[#This Row],[payée le
reçu le]]="",Tableau3383[[#This Row],[Montant
TTC
CHF]],"")</f>
        <v>3541.9999999999995</v>
      </c>
      <c r="Q18" s="59"/>
      <c r="R18" s="58"/>
      <c r="S18" s="57"/>
      <c r="T18" s="56"/>
      <c r="U18" s="55"/>
      <c r="V18" s="54" t="s">
        <v>2</v>
      </c>
      <c r="W18" s="53" t="s">
        <v>102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</row>
    <row r="19" spans="1:112" x14ac:dyDescent="0.25">
      <c r="A19" s="46" t="s">
        <v>107</v>
      </c>
      <c r="B19" s="40">
        <v>43505</v>
      </c>
      <c r="C19" s="40">
        <v>43507</v>
      </c>
      <c r="D19" s="45" t="s">
        <v>106</v>
      </c>
      <c r="E19" s="44">
        <f>SUM(Tableau3383[[#This Row],[Promerka
Group
TEMP]:[Coffre Fort]])</f>
        <v>168</v>
      </c>
      <c r="F19" s="43">
        <v>180.94</v>
      </c>
      <c r="G19" s="149">
        <v>2000</v>
      </c>
      <c r="I19" s="42"/>
      <c r="K19" s="41">
        <v>7.7</v>
      </c>
      <c r="L19" s="40">
        <v>43533</v>
      </c>
      <c r="M19" s="20"/>
      <c r="N19" s="36"/>
      <c r="O19" s="9">
        <f ca="1">IF(Tableau3383[[#This Row],[payée le
reçu le]]="",$N$1-Tableau3383[[#This Row],[Échéance]],"")</f>
        <v>59.616536805559008</v>
      </c>
      <c r="P19" s="39">
        <f>IF(Tableau3383[[#This Row],[payée le
reçu le]]="",Tableau3383[[#This Row],[Montant
TTC
CHF]],"")</f>
        <v>180.94</v>
      </c>
      <c r="Q19" s="38"/>
      <c r="S19" s="37"/>
      <c r="T19" s="36"/>
      <c r="U19" s="35"/>
      <c r="V19" s="34" t="s">
        <v>2</v>
      </c>
      <c r="W19" s="2" t="s">
        <v>105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>
        <v>168</v>
      </c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</row>
    <row r="20" spans="1:112" hidden="1" x14ac:dyDescent="0.25">
      <c r="A20" s="33">
        <v>101731</v>
      </c>
      <c r="B20" s="28">
        <v>43506</v>
      </c>
      <c r="C20" s="28">
        <v>43479</v>
      </c>
      <c r="D20" s="32" t="s">
        <v>16</v>
      </c>
      <c r="E20" s="44">
        <f>SUM(Tableau3383[[#This Row],[Promerka
Group
TEMP]:[Coffre Fort]])</f>
        <v>1682.65</v>
      </c>
      <c r="F20" s="30">
        <v>1682.65</v>
      </c>
      <c r="G20" s="150" t="s">
        <v>244</v>
      </c>
      <c r="H20" s="30"/>
      <c r="I20" s="30"/>
      <c r="J20" s="19"/>
      <c r="K20" s="29">
        <v>0</v>
      </c>
      <c r="L20" s="28">
        <v>43506</v>
      </c>
      <c r="M20" s="19"/>
      <c r="N20" s="23" t="s">
        <v>15</v>
      </c>
      <c r="P20" s="39">
        <f>IF(Tableau3383[[#This Row],[payée le
reçu le]]="",Tableau3383[[#This Row],[Montant
TTC
CHF]],"")</f>
        <v>1682.65</v>
      </c>
      <c r="Q20" s="26"/>
      <c r="R20" s="25"/>
      <c r="S20" s="24"/>
      <c r="T20" s="23"/>
      <c r="U20" s="22"/>
      <c r="V20" s="21" t="s">
        <v>3</v>
      </c>
      <c r="W20" s="21" t="s">
        <v>33</v>
      </c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>
        <v>1682.65</v>
      </c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</row>
    <row r="21" spans="1:112" x14ac:dyDescent="0.25">
      <c r="A21" s="46">
        <v>1189129</v>
      </c>
      <c r="B21" s="40">
        <v>43507</v>
      </c>
      <c r="C21" s="40">
        <v>43511</v>
      </c>
      <c r="D21" s="45" t="s">
        <v>7</v>
      </c>
      <c r="E21" s="44">
        <f>SUM(Tableau3383[[#This Row],[Promerka
Group
TEMP]:[Coffre Fort]])</f>
        <v>157.04</v>
      </c>
      <c r="F21" s="43">
        <v>169.05</v>
      </c>
      <c r="G21" s="149">
        <v>2000</v>
      </c>
      <c r="I21" s="42"/>
      <c r="K21" s="41">
        <v>0</v>
      </c>
      <c r="L21" s="40">
        <v>43537</v>
      </c>
      <c r="M21" s="20"/>
      <c r="N21" s="36"/>
      <c r="O21" s="9">
        <f ca="1">IF(Tableau3383[[#This Row],[payée le
reçu le]]="",$N$1-Tableau3383[[#This Row],[Échéance]],"")</f>
        <v>55.616536805559008</v>
      </c>
      <c r="P21" s="39">
        <f>IF(Tableau3383[[#This Row],[payée le
reçu le]]="",Tableau3383[[#This Row],[Montant
TTC
CHF]],"")</f>
        <v>169.05</v>
      </c>
      <c r="Q21" s="38"/>
      <c r="S21" s="37"/>
      <c r="T21" s="36"/>
      <c r="U21" s="35"/>
      <c r="V21" s="34" t="s">
        <v>2</v>
      </c>
      <c r="W21" s="2" t="s">
        <v>101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>
        <v>157.04</v>
      </c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</row>
    <row r="22" spans="1:112" hidden="1" x14ac:dyDescent="0.25">
      <c r="A22" s="46" t="s">
        <v>21</v>
      </c>
      <c r="B22" s="40">
        <v>43511</v>
      </c>
      <c r="C22" s="40">
        <v>43521</v>
      </c>
      <c r="D22" s="45" t="s">
        <v>20</v>
      </c>
      <c r="E22" s="44">
        <f>SUM(Tableau3383[[#This Row],[Promerka
Group
TEMP]:[Coffre Fort]])</f>
        <v>1084.25</v>
      </c>
      <c r="F22" s="43">
        <v>1084.25</v>
      </c>
      <c r="G22" s="150" t="s">
        <v>244</v>
      </c>
      <c r="H22" s="13">
        <v>32.5</v>
      </c>
      <c r="I22" s="42"/>
      <c r="K22" s="41">
        <v>0</v>
      </c>
      <c r="L22" s="40">
        <v>43556</v>
      </c>
      <c r="M22" s="20"/>
      <c r="N22" s="36"/>
      <c r="O22" s="9">
        <f ca="1">IF(Tableau3383[[#This Row],[payée le
reçu le]]="",$N$1-Tableau3383[[#This Row],[Échéance]],"")</f>
        <v>36.616536805559008</v>
      </c>
      <c r="P22" s="39">
        <f>IF(Tableau3383[[#This Row],[payée le
reçu le]]="",Tableau3383[[#This Row],[Montant
TTC
CHF]],"")</f>
        <v>1084.25</v>
      </c>
      <c r="Q22" s="38"/>
      <c r="S22" s="37"/>
      <c r="T22" s="36"/>
      <c r="U22" s="35"/>
      <c r="V22" s="34" t="s">
        <v>3</v>
      </c>
      <c r="W22" s="2" t="s">
        <v>86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>
        <v>1084.25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</row>
    <row r="23" spans="1:112" x14ac:dyDescent="0.25">
      <c r="A23" s="46">
        <v>5375842351</v>
      </c>
      <c r="B23" s="40">
        <v>43511</v>
      </c>
      <c r="C23" s="40">
        <v>43511</v>
      </c>
      <c r="D23" s="45" t="s">
        <v>1</v>
      </c>
      <c r="E23" s="44">
        <f>SUM(Tableau3383[[#This Row],[Promerka
Group
TEMP]:[Coffre Fort]])</f>
        <v>229.45</v>
      </c>
      <c r="F23" s="43">
        <v>229.45</v>
      </c>
      <c r="G23" s="147">
        <v>2003</v>
      </c>
      <c r="I23" s="42"/>
      <c r="K23" s="41">
        <v>0</v>
      </c>
      <c r="L23" s="40">
        <v>43571</v>
      </c>
      <c r="M23" s="20"/>
      <c r="N23" s="36"/>
      <c r="O23" s="9">
        <f ca="1">IF(Tableau3383[[#This Row],[payée le
reçu le]]="",$N$1-Tableau3383[[#This Row],[Échéance]],"")</f>
        <v>21.616536805559008</v>
      </c>
      <c r="P23" s="39">
        <f>IF(Tableau3383[[#This Row],[payée le
reçu le]]="",Tableau3383[[#This Row],[Montant
TTC
CHF]],"")</f>
        <v>229.45</v>
      </c>
      <c r="Q23" s="38"/>
      <c r="S23" s="37"/>
      <c r="T23" s="36"/>
      <c r="U23" s="35"/>
      <c r="V23" s="34" t="s">
        <v>0</v>
      </c>
      <c r="W23" s="2" t="s">
        <v>78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>
        <v>229.45</v>
      </c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</row>
    <row r="24" spans="1:112" x14ac:dyDescent="0.25">
      <c r="A24" s="46">
        <v>5375859251</v>
      </c>
      <c r="B24" s="40">
        <v>43515</v>
      </c>
      <c r="C24" s="40">
        <v>43516</v>
      </c>
      <c r="D24" s="45" t="s">
        <v>1</v>
      </c>
      <c r="E24" s="44">
        <f>SUM(Tableau3383[[#This Row],[Promerka
Group
TEMP]:[Coffre Fort]])</f>
        <v>754.15</v>
      </c>
      <c r="F24" s="43">
        <v>754.15</v>
      </c>
      <c r="G24" s="147">
        <v>2003</v>
      </c>
      <c r="I24" s="42"/>
      <c r="K24" s="41">
        <v>100</v>
      </c>
      <c r="L24" s="40">
        <v>43578</v>
      </c>
      <c r="M24" s="20"/>
      <c r="N24" s="36"/>
      <c r="O24" s="9">
        <f ca="1">IF(Tableau3383[[#This Row],[payée le
reçu le]]="",$N$1-Tableau3383[[#This Row],[Échéance]],"")</f>
        <v>14.616536805559008</v>
      </c>
      <c r="P24" s="39">
        <f>IF(Tableau3383[[#This Row],[payée le
reçu le]]="",Tableau3383[[#This Row],[Montant
TTC
CHF]],"")</f>
        <v>754.15</v>
      </c>
      <c r="Q24" s="38"/>
      <c r="S24" s="37"/>
      <c r="T24" s="36"/>
      <c r="U24" s="35"/>
      <c r="V24" s="34" t="s">
        <v>0</v>
      </c>
      <c r="W24" s="2" t="s">
        <v>77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>
        <v>754.15</v>
      </c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</row>
    <row r="25" spans="1:112" x14ac:dyDescent="0.25">
      <c r="A25" s="46">
        <v>1193497</v>
      </c>
      <c r="B25" s="40">
        <v>43518</v>
      </c>
      <c r="C25" s="40">
        <v>43525</v>
      </c>
      <c r="D25" s="45" t="s">
        <v>7</v>
      </c>
      <c r="E25" s="44">
        <f>SUM(Tableau3383[[#This Row],[Promerka
Group
TEMP]:[Coffre Fort]])</f>
        <v>5.3</v>
      </c>
      <c r="F25" s="43">
        <v>5.7</v>
      </c>
      <c r="G25" s="149">
        <v>2000</v>
      </c>
      <c r="I25" s="42"/>
      <c r="K25" s="41">
        <v>7.7</v>
      </c>
      <c r="L25" s="40">
        <v>43548</v>
      </c>
      <c r="M25" s="20"/>
      <c r="N25" s="36"/>
      <c r="O25" s="9">
        <f ca="1">IF(Tableau3383[[#This Row],[payée le
reçu le]]="",$N$1-Tableau3383[[#This Row],[Échéance]],"")</f>
        <v>44.616536805559008</v>
      </c>
      <c r="P25" s="39">
        <f>IF(Tableau3383[[#This Row],[payée le
reçu le]]="",Tableau3383[[#This Row],[Montant
TTC
CHF]],"")</f>
        <v>5.7</v>
      </c>
      <c r="Q25" s="38"/>
      <c r="S25" s="37"/>
      <c r="T25" s="36"/>
      <c r="U25" s="35"/>
      <c r="V25" s="34" t="s">
        <v>2</v>
      </c>
      <c r="W25" s="2" t="s">
        <v>100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>
        <v>5.3</v>
      </c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</row>
    <row r="26" spans="1:112" x14ac:dyDescent="0.25">
      <c r="A26" s="46">
        <v>1194065</v>
      </c>
      <c r="B26" s="40">
        <v>43521</v>
      </c>
      <c r="C26" s="40">
        <v>43535</v>
      </c>
      <c r="D26" s="45" t="s">
        <v>7</v>
      </c>
      <c r="E26" s="44">
        <f>SUM(Tableau3383[[#This Row],[Promerka
Group
TEMP]:[Coffre Fort]])</f>
        <v>27</v>
      </c>
      <c r="F26" s="43">
        <v>29.05</v>
      </c>
      <c r="G26" s="149">
        <v>2000</v>
      </c>
      <c r="I26" s="42"/>
      <c r="K26" s="41">
        <v>7.7</v>
      </c>
      <c r="L26" s="40">
        <v>43551</v>
      </c>
      <c r="M26" s="20"/>
      <c r="N26" s="36"/>
      <c r="O26" s="9">
        <f ca="1">IF(Tableau3383[[#This Row],[payée le
reçu le]]="",$N$1-Tableau3383[[#This Row],[Échéance]],"")</f>
        <v>41.616536805559008</v>
      </c>
      <c r="P26" s="39">
        <f>IF(Tableau3383[[#This Row],[payée le
reçu le]]="",Tableau3383[[#This Row],[Montant
TTC
CHF]],"")</f>
        <v>29.05</v>
      </c>
      <c r="Q26" s="38"/>
      <c r="S26" s="37"/>
      <c r="T26" s="36"/>
      <c r="U26" s="35"/>
      <c r="V26" s="34" t="s">
        <v>2</v>
      </c>
      <c r="W26" s="2" t="s">
        <v>99</v>
      </c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>
        <v>27</v>
      </c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</row>
    <row r="27" spans="1:112" x14ac:dyDescent="0.25">
      <c r="A27" s="46">
        <v>5375896307</v>
      </c>
      <c r="B27" s="40">
        <v>43522</v>
      </c>
      <c r="C27" s="40">
        <v>43524</v>
      </c>
      <c r="D27" s="45" t="s">
        <v>1</v>
      </c>
      <c r="E27" s="44">
        <f>SUM(Tableau3383[[#This Row],[Promerka
Group
TEMP]:[Coffre Fort]])</f>
        <v>37.950000000000003</v>
      </c>
      <c r="F27" s="43">
        <v>37.950000000000003</v>
      </c>
      <c r="G27" s="147">
        <v>2003</v>
      </c>
      <c r="I27" s="42"/>
      <c r="K27" s="41">
        <v>100</v>
      </c>
      <c r="L27" s="40">
        <v>43584</v>
      </c>
      <c r="M27" s="20"/>
      <c r="N27" s="36"/>
      <c r="O27" s="9">
        <f ca="1">IF(Tableau3383[[#This Row],[payée le
reçu le]]="",$N$1-Tableau3383[[#This Row],[Échéance]],"")</f>
        <v>8.6165368055590079</v>
      </c>
      <c r="P27" s="39">
        <f>IF(Tableau3383[[#This Row],[payée le
reçu le]]="",Tableau3383[[#This Row],[Montant
TTC
CHF]],"")</f>
        <v>37.950000000000003</v>
      </c>
      <c r="Q27" s="38"/>
      <c r="S27" s="37"/>
      <c r="T27" s="36"/>
      <c r="U27" s="35"/>
      <c r="V27" s="34" t="s">
        <v>0</v>
      </c>
      <c r="W27" s="2" t="s">
        <v>74</v>
      </c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>
        <v>37.950000000000003</v>
      </c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</row>
    <row r="28" spans="1:112" x14ac:dyDescent="0.25">
      <c r="A28" s="46">
        <v>1194964</v>
      </c>
      <c r="B28" s="40">
        <v>43523</v>
      </c>
      <c r="C28" s="40">
        <v>43529</v>
      </c>
      <c r="D28" s="45" t="s">
        <v>7</v>
      </c>
      <c r="E28" s="44">
        <f>SUM(Tableau3383[[#This Row],[Promerka
Group
TEMP]:[Coffre Fort]])</f>
        <v>6.4</v>
      </c>
      <c r="F28" s="43">
        <v>6.85</v>
      </c>
      <c r="G28" s="149">
        <v>2000</v>
      </c>
      <c r="I28" s="42"/>
      <c r="K28" s="41">
        <v>7.7</v>
      </c>
      <c r="L28" s="40">
        <v>43553</v>
      </c>
      <c r="M28" s="20"/>
      <c r="N28" s="36"/>
      <c r="O28" s="9">
        <f ca="1">IF(Tableau3383[[#This Row],[payée le
reçu le]]="",$N$1-Tableau3383[[#This Row],[Échéance]],"")</f>
        <v>39.616536805559008</v>
      </c>
      <c r="P28" s="39">
        <f>IF(Tableau3383[[#This Row],[payée le
reçu le]]="",Tableau3383[[#This Row],[Montant
TTC
CHF]],"")</f>
        <v>6.85</v>
      </c>
      <c r="Q28" s="38"/>
      <c r="S28" s="37"/>
      <c r="T28" s="36"/>
      <c r="U28" s="35"/>
      <c r="V28" s="34" t="s">
        <v>2</v>
      </c>
      <c r="W28" s="2" t="s">
        <v>98</v>
      </c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>
        <v>6.4</v>
      </c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</row>
    <row r="29" spans="1:112" x14ac:dyDescent="0.25">
      <c r="A29" s="46">
        <v>1194965</v>
      </c>
      <c r="B29" s="40">
        <v>43523</v>
      </c>
      <c r="C29" s="40">
        <v>43529</v>
      </c>
      <c r="D29" s="45" t="s">
        <v>7</v>
      </c>
      <c r="E29" s="44">
        <f>SUM(Tableau3383[[#This Row],[Promerka
Group
TEMP]:[Coffre Fort]])</f>
        <v>12.85</v>
      </c>
      <c r="F29" s="43">
        <v>13.8</v>
      </c>
      <c r="G29" s="149">
        <v>2000</v>
      </c>
      <c r="I29" s="42"/>
      <c r="K29" s="41">
        <v>7.7</v>
      </c>
      <c r="L29" s="40">
        <v>43553</v>
      </c>
      <c r="M29" s="20"/>
      <c r="N29" s="36"/>
      <c r="O29" s="9">
        <f ca="1">IF(Tableau3383[[#This Row],[payée le
reçu le]]="",$N$1-Tableau3383[[#This Row],[Échéance]],"")</f>
        <v>39.616536805559008</v>
      </c>
      <c r="P29" s="39">
        <f>IF(Tableau3383[[#This Row],[payée le
reçu le]]="",Tableau3383[[#This Row],[Montant
TTC
CHF]],"")</f>
        <v>13.8</v>
      </c>
      <c r="Q29" s="38"/>
      <c r="S29" s="37"/>
      <c r="T29" s="36"/>
      <c r="U29" s="35"/>
      <c r="V29" s="34" t="s">
        <v>18</v>
      </c>
      <c r="W29" s="2" t="s">
        <v>73</v>
      </c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>
        <v>12.85</v>
      </c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</row>
    <row r="30" spans="1:112" x14ac:dyDescent="0.25">
      <c r="A30" s="46">
        <v>51631888</v>
      </c>
      <c r="B30" s="40">
        <v>43524</v>
      </c>
      <c r="C30" s="40">
        <v>43525</v>
      </c>
      <c r="D30" s="45" t="s">
        <v>72</v>
      </c>
      <c r="E30" s="44">
        <f>SUM(Tableau3383[[#This Row],[Promerka
Group
TEMP]:[Coffre Fort]])</f>
        <v>715.9</v>
      </c>
      <c r="F30" s="43">
        <v>715.9</v>
      </c>
      <c r="G30" s="147">
        <v>2003</v>
      </c>
      <c r="I30" s="42"/>
      <c r="K30" s="41" t="s">
        <v>51</v>
      </c>
      <c r="L30" s="40">
        <v>43524</v>
      </c>
      <c r="M30" s="20"/>
      <c r="N30" s="36" t="s">
        <v>71</v>
      </c>
      <c r="O30" s="9">
        <f ca="1">IF(Tableau3383[[#This Row],[payée le
reçu le]]="",$N$1-Tableau3383[[#This Row],[Échéance]],"")</f>
        <v>68.616536805559008</v>
      </c>
      <c r="P30" s="39">
        <f>IF(Tableau3383[[#This Row],[payée le
reçu le]]="",Tableau3383[[#This Row],[Montant
TTC
CHF]],"")</f>
        <v>715.9</v>
      </c>
      <c r="Q30" s="38"/>
      <c r="S30" s="37"/>
      <c r="T30" s="36"/>
      <c r="U30" s="35"/>
      <c r="V30" s="34" t="s">
        <v>49</v>
      </c>
      <c r="W30" s="2" t="s">
        <v>70</v>
      </c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>
        <v>553.79999999999995</v>
      </c>
      <c r="BS30" s="20"/>
      <c r="BT30" s="20">
        <v>52.1</v>
      </c>
      <c r="BU30" s="20">
        <v>110</v>
      </c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</row>
    <row r="31" spans="1:112" hidden="1" x14ac:dyDescent="0.25">
      <c r="A31" s="46">
        <v>20190228</v>
      </c>
      <c r="B31" s="40">
        <v>43524</v>
      </c>
      <c r="C31" s="40">
        <v>43580</v>
      </c>
      <c r="D31" s="45" t="s">
        <v>17</v>
      </c>
      <c r="E31" s="44">
        <f>SUM(Tableau3383[[#This Row],[Promerka
Group
TEMP]:[Coffre Fort]])</f>
        <v>500</v>
      </c>
      <c r="F31" s="43">
        <v>500</v>
      </c>
      <c r="G31" s="150" t="s">
        <v>244</v>
      </c>
      <c r="I31" s="42"/>
      <c r="K31" s="41">
        <v>0</v>
      </c>
      <c r="L31" s="40">
        <v>43555</v>
      </c>
      <c r="M31" s="20"/>
      <c r="N31" s="36"/>
      <c r="O31" s="9">
        <f ca="1">IF(Tableau3383[[#This Row],[payée le
reçu le]]="",$N$1-Tableau3383[[#This Row],[Échéance]],"")</f>
        <v>37.616536805559008</v>
      </c>
      <c r="P31" s="39">
        <f>IF(Tableau3383[[#This Row],[payée le
reçu le]]="",Tableau3383[[#This Row],[Montant
TTC
CHF]],"")</f>
        <v>500</v>
      </c>
      <c r="Q31" s="38"/>
      <c r="S31" s="37"/>
      <c r="T31" s="36"/>
      <c r="U31" s="35"/>
      <c r="V31" s="34" t="s">
        <v>14</v>
      </c>
      <c r="W31" s="2" t="s">
        <v>42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>
        <v>500</v>
      </c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</row>
    <row r="32" spans="1:112" hidden="1" x14ac:dyDescent="0.25">
      <c r="A32" s="46">
        <v>101731</v>
      </c>
      <c r="B32" s="40">
        <v>43524</v>
      </c>
      <c r="C32" s="40">
        <v>43527</v>
      </c>
      <c r="D32" s="45" t="s">
        <v>16</v>
      </c>
      <c r="E32" s="44">
        <f>SUM(Tableau3383[[#This Row],[Promerka
Group
TEMP]:[Coffre Fort]])</f>
        <v>-1032.2</v>
      </c>
      <c r="F32" s="13">
        <v>-1032.2</v>
      </c>
      <c r="G32" s="150" t="s">
        <v>244</v>
      </c>
      <c r="I32" s="42"/>
      <c r="K32" s="41">
        <v>0</v>
      </c>
      <c r="L32" s="40">
        <v>43524</v>
      </c>
      <c r="M32" s="20"/>
      <c r="N32" s="36" t="s">
        <v>32</v>
      </c>
      <c r="O32" s="9">
        <f ca="1">IF(Tableau3383[[#This Row],[payée le
reçu le]]="",$N$1-Tableau3383[[#This Row],[Échéance]],"")</f>
        <v>68.616536805559008</v>
      </c>
      <c r="P32" s="39">
        <f>IF(Tableau3383[[#This Row],[payée le
reçu le]]="",Tableau3383[[#This Row],[Montant
TTC
CHF]],"")</f>
        <v>-1032.2</v>
      </c>
      <c r="Q32" s="38"/>
      <c r="R32" s="6">
        <v>1092</v>
      </c>
      <c r="S32" s="37"/>
      <c r="T32" s="36"/>
      <c r="U32" s="35"/>
      <c r="V32" s="2" t="s">
        <v>3</v>
      </c>
      <c r="W32" s="36" t="s">
        <v>32</v>
      </c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>
        <v>-1032.2</v>
      </c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</row>
    <row r="33" spans="1:240" hidden="1" x14ac:dyDescent="0.25">
      <c r="A33" s="46" t="s">
        <v>13</v>
      </c>
      <c r="B33" s="40">
        <v>43524</v>
      </c>
      <c r="C33" s="40">
        <v>43588</v>
      </c>
      <c r="D33" s="45" t="s">
        <v>12</v>
      </c>
      <c r="E33" s="44">
        <f>SUM(Tableau3383[[#This Row],[Promerka
Group
TEMP]:[Coffre Fort]])</f>
        <v>1253.086</v>
      </c>
      <c r="F33" s="43">
        <f>Tableau3383[[#This Row],[Montant
€]]*Tableau3383[[#This Row],[Change € &gt; CH]]</f>
        <v>1253.086</v>
      </c>
      <c r="G33" s="150" t="s">
        <v>244</v>
      </c>
      <c r="I33" s="42">
        <v>1.1499999999999999</v>
      </c>
      <c r="J33" s="12">
        <v>1089.6400000000001</v>
      </c>
      <c r="K33" s="41">
        <v>0</v>
      </c>
      <c r="L33" s="40">
        <v>43552</v>
      </c>
      <c r="M33" s="20"/>
      <c r="N33" s="36"/>
      <c r="O33" s="9">
        <f ca="1">IF(Tableau3383[[#This Row],[payée le
reçu le]]="",$N$1-Tableau3383[[#This Row],[Échéance]],"")</f>
        <v>40.616536805559008</v>
      </c>
      <c r="P33" s="39">
        <f>IF(Tableau3383[[#This Row],[payée le
reçu le]]="",Tableau3383[[#This Row],[Montant
TTC
CHF]],"")</f>
        <v>1253.086</v>
      </c>
      <c r="Q33" s="38"/>
      <c r="S33" s="37"/>
      <c r="T33" s="36"/>
      <c r="U33" s="35"/>
      <c r="V33" s="34" t="s">
        <v>2</v>
      </c>
      <c r="W33" s="2" t="s">
        <v>11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>
        <f>1089.64*Tableau3383[[#This Row],[Change € &gt; CH]]</f>
        <v>1253.086</v>
      </c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</row>
    <row r="34" spans="1:240" hidden="1" x14ac:dyDescent="0.25">
      <c r="A34" s="33">
        <v>101731</v>
      </c>
      <c r="B34" s="28">
        <v>43525</v>
      </c>
      <c r="C34" s="28">
        <v>43479</v>
      </c>
      <c r="D34" s="32" t="s">
        <v>16</v>
      </c>
      <c r="E34" s="31">
        <f>SUM(Tableau3383[[#This Row],[Promerka
Group
TEMP]:[Coffre Fort]])</f>
        <v>1682.65</v>
      </c>
      <c r="F34" s="30">
        <v>1682.65</v>
      </c>
      <c r="G34" s="150" t="s">
        <v>244</v>
      </c>
      <c r="H34" s="30"/>
      <c r="I34" s="30"/>
      <c r="J34" s="19"/>
      <c r="K34" s="29">
        <v>0</v>
      </c>
      <c r="L34" s="28">
        <v>43555</v>
      </c>
      <c r="M34" s="19"/>
      <c r="N34" s="23" t="s">
        <v>15</v>
      </c>
      <c r="O34" s="9">
        <f ca="1">IF(Tableau3383[[#This Row],[payée le
reçu le]]="",$N$1-Tableau3383[[#This Row],[Échéance]],"")</f>
        <v>37.616536805559008</v>
      </c>
      <c r="P34" s="27">
        <f>IF(Tableau3383[[#This Row],[payée le
reçu le]]="",Tableau3383[[#This Row],[Montant
TTC
CHF]],"")</f>
        <v>1682.65</v>
      </c>
      <c r="Q34" s="26"/>
      <c r="R34" s="25"/>
      <c r="S34" s="24"/>
      <c r="T34" s="23"/>
      <c r="U34" s="22"/>
      <c r="V34" s="21" t="s">
        <v>3</v>
      </c>
      <c r="W34" s="21" t="s">
        <v>30</v>
      </c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>
        <v>1682.65</v>
      </c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</row>
    <row r="35" spans="1:240" s="47" customFormat="1" x14ac:dyDescent="0.25">
      <c r="A35" s="46">
        <v>1196680</v>
      </c>
      <c r="B35" s="40">
        <v>43528</v>
      </c>
      <c r="C35" s="40">
        <v>43532</v>
      </c>
      <c r="D35" s="45" t="s">
        <v>7</v>
      </c>
      <c r="E35" s="44">
        <f>SUM(Tableau3383[[#This Row],[Promerka
Group
TEMP]:[Coffre Fort]])</f>
        <v>357.49</v>
      </c>
      <c r="F35" s="43">
        <v>384.95</v>
      </c>
      <c r="G35" s="149">
        <v>2000</v>
      </c>
      <c r="H35" s="13"/>
      <c r="I35" s="42"/>
      <c r="J35" s="12"/>
      <c r="K35" s="41">
        <v>7.7</v>
      </c>
      <c r="L35" s="40">
        <v>43558</v>
      </c>
      <c r="M35" s="20"/>
      <c r="N35" s="36"/>
      <c r="O35" s="9">
        <f ca="1">IF(Tableau3383[[#This Row],[payée le
reçu le]]="",$N$1-Tableau3383[[#This Row],[Échéance]],"")</f>
        <v>34.616536805559008</v>
      </c>
      <c r="P35" s="39">
        <f>IF(Tableau3383[[#This Row],[payée le
reçu le]]="",Tableau3383[[#This Row],[Montant
TTC
CHF]],"")</f>
        <v>384.95</v>
      </c>
      <c r="Q35" s="38"/>
      <c r="R35" s="6"/>
      <c r="S35" s="37"/>
      <c r="T35" s="36"/>
      <c r="U35" s="35"/>
      <c r="V35" s="34" t="s">
        <v>2</v>
      </c>
      <c r="W35" s="2" t="s">
        <v>97</v>
      </c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>
        <v>263.91000000000003</v>
      </c>
      <c r="CH35" s="20">
        <f>63.88+29.7</f>
        <v>93.58</v>
      </c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</row>
    <row r="36" spans="1:240" s="47" customFormat="1" x14ac:dyDescent="0.25">
      <c r="A36" s="46">
        <v>1196679</v>
      </c>
      <c r="B36" s="40">
        <v>43528</v>
      </c>
      <c r="C36" s="40">
        <v>43532</v>
      </c>
      <c r="D36" s="45" t="s">
        <v>7</v>
      </c>
      <c r="E36" s="44">
        <f>SUM(Tableau3383[[#This Row],[Promerka
Group
TEMP]:[Coffre Fort]])</f>
        <v>19.98</v>
      </c>
      <c r="F36" s="43">
        <v>21.45</v>
      </c>
      <c r="G36" s="149">
        <v>2000</v>
      </c>
      <c r="H36" s="13"/>
      <c r="I36" s="42"/>
      <c r="J36" s="12"/>
      <c r="K36" s="41">
        <v>7.7</v>
      </c>
      <c r="L36" s="40">
        <v>43558</v>
      </c>
      <c r="M36" s="20"/>
      <c r="N36" s="36"/>
      <c r="O36" s="9">
        <f ca="1">IF(Tableau3383[[#This Row],[payée le
reçu le]]="",$N$1-Tableau3383[[#This Row],[Échéance]],"")</f>
        <v>34.616536805559008</v>
      </c>
      <c r="P36" s="39">
        <f>IF(Tableau3383[[#This Row],[payée le
reçu le]]="",Tableau3383[[#This Row],[Montant
TTC
CHF]],"")</f>
        <v>21.45</v>
      </c>
      <c r="Q36" s="38"/>
      <c r="R36" s="6"/>
      <c r="S36" s="37"/>
      <c r="T36" s="36"/>
      <c r="U36" s="35"/>
      <c r="V36" s="34" t="s">
        <v>2</v>
      </c>
      <c r="W36" s="2" t="s">
        <v>96</v>
      </c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>
        <v>19.98</v>
      </c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</row>
    <row r="37" spans="1:240" s="47" customFormat="1" x14ac:dyDescent="0.25">
      <c r="A37" s="46">
        <v>1196678</v>
      </c>
      <c r="B37" s="40">
        <v>43528</v>
      </c>
      <c r="C37" s="40">
        <v>43532</v>
      </c>
      <c r="D37" s="45" t="s">
        <v>7</v>
      </c>
      <c r="E37" s="44">
        <f>SUM(Tableau3383[[#This Row],[Promerka
Group
TEMP]:[Coffre Fort]])</f>
        <v>9.99</v>
      </c>
      <c r="F37" s="43">
        <v>10.7</v>
      </c>
      <c r="G37" s="149">
        <v>2000</v>
      </c>
      <c r="H37" s="13"/>
      <c r="I37" s="42"/>
      <c r="J37" s="12"/>
      <c r="K37" s="41">
        <v>7.7</v>
      </c>
      <c r="L37" s="40">
        <v>43558</v>
      </c>
      <c r="M37" s="20"/>
      <c r="N37" s="36"/>
      <c r="O37" s="9">
        <f ca="1">IF(Tableau3383[[#This Row],[payée le
reçu le]]="",$N$1-Tableau3383[[#This Row],[Échéance]],"")</f>
        <v>34.616536805559008</v>
      </c>
      <c r="P37" s="39">
        <f>IF(Tableau3383[[#This Row],[payée le
reçu le]]="",Tableau3383[[#This Row],[Montant
TTC
CHF]],"")</f>
        <v>10.7</v>
      </c>
      <c r="Q37" s="38"/>
      <c r="R37" s="6"/>
      <c r="S37" s="37"/>
      <c r="T37" s="36"/>
      <c r="U37" s="35"/>
      <c r="V37" s="34" t="s">
        <v>2</v>
      </c>
      <c r="W37" s="2" t="s">
        <v>95</v>
      </c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>
        <v>9.99</v>
      </c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</row>
    <row r="38" spans="1:240" s="47" customFormat="1" hidden="1" x14ac:dyDescent="0.25">
      <c r="A38" s="46">
        <v>101731</v>
      </c>
      <c r="B38" s="40">
        <v>43529</v>
      </c>
      <c r="C38" s="40">
        <v>43531</v>
      </c>
      <c r="D38" s="45" t="s">
        <v>16</v>
      </c>
      <c r="E38" s="44">
        <f>SUM(Tableau3383[[#This Row],[Promerka
Group
TEMP]:[Coffre Fort]])</f>
        <v>-772.15</v>
      </c>
      <c r="F38" s="13">
        <f>-((1408.05+316.15)-952.05)</f>
        <v>-772.14999999999986</v>
      </c>
      <c r="G38" s="150" t="s">
        <v>244</v>
      </c>
      <c r="H38" s="13"/>
      <c r="I38" s="42"/>
      <c r="J38" s="12"/>
      <c r="K38" s="41">
        <v>0</v>
      </c>
      <c r="L38" s="40">
        <v>43496</v>
      </c>
      <c r="M38" s="20"/>
      <c r="N38" s="36" t="s">
        <v>28</v>
      </c>
      <c r="O38" s="9">
        <f ca="1">IF(Tableau3383[[#This Row],[payée le
reçu le]]="",$N$1-Tableau3383[[#This Row],[Échéance]],"")</f>
        <v>96.616536805559008</v>
      </c>
      <c r="P38" s="39">
        <f>IF(Tableau3383[[#This Row],[payée le
reçu le]]="",Tableau3383[[#This Row],[Montant
TTC
CHF]],"")</f>
        <v>-772.14999999999986</v>
      </c>
      <c r="Q38" s="38"/>
      <c r="R38" s="6"/>
      <c r="S38" s="37"/>
      <c r="T38" s="36"/>
      <c r="U38" s="35"/>
      <c r="V38" s="34" t="s">
        <v>3</v>
      </c>
      <c r="W38" s="2" t="s">
        <v>29</v>
      </c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>
        <v>-772.15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</row>
    <row r="39" spans="1:240" s="47" customFormat="1" hidden="1" x14ac:dyDescent="0.25">
      <c r="A39" s="33">
        <v>101731</v>
      </c>
      <c r="B39" s="40">
        <v>43529</v>
      </c>
      <c r="C39" s="40">
        <v>43531</v>
      </c>
      <c r="D39" s="45" t="s">
        <v>16</v>
      </c>
      <c r="E39" s="44">
        <f>SUM(Tableau3383[[#This Row],[Promerka
Group
TEMP]:[Coffre Fort]])</f>
        <v>-4495.6499999999996</v>
      </c>
      <c r="F39" s="13">
        <f>-(8991.3-4495.65)</f>
        <v>-4495.6499999999996</v>
      </c>
      <c r="G39" s="150" t="s">
        <v>244</v>
      </c>
      <c r="H39" s="13"/>
      <c r="I39" s="42"/>
      <c r="J39" s="12"/>
      <c r="K39" s="41">
        <v>0</v>
      </c>
      <c r="L39" s="40">
        <v>43496</v>
      </c>
      <c r="M39" s="20"/>
      <c r="N39" s="36" t="s">
        <v>28</v>
      </c>
      <c r="O39" s="9">
        <f ca="1">IF(Tableau3383[[#This Row],[payée le
reçu le]]="",$N$1-Tableau3383[[#This Row],[Échéance]],"")</f>
        <v>96.616536805559008</v>
      </c>
      <c r="P39" s="39">
        <f>IF(Tableau3383[[#This Row],[payée le
reçu le]]="",Tableau3383[[#This Row],[Montant
TTC
CHF]],"")</f>
        <v>-4495.6499999999996</v>
      </c>
      <c r="Q39" s="38"/>
      <c r="R39" s="6"/>
      <c r="S39" s="37"/>
      <c r="T39" s="36"/>
      <c r="U39" s="35"/>
      <c r="V39" s="2" t="s">
        <v>3</v>
      </c>
      <c r="W39" s="2" t="s">
        <v>27</v>
      </c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>
        <v>-4495.6499999999996</v>
      </c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</row>
    <row r="40" spans="1:240" x14ac:dyDescent="0.25">
      <c r="A40" s="46">
        <v>4023917</v>
      </c>
      <c r="B40" s="40">
        <v>43531</v>
      </c>
      <c r="C40" s="40">
        <v>43531</v>
      </c>
      <c r="D40" s="45" t="s">
        <v>5</v>
      </c>
      <c r="E40" s="44">
        <f>SUM(Tableau3383[[#This Row],[Promerka
Group
TEMP]:[Coffre Fort]])</f>
        <v>5254.75</v>
      </c>
      <c r="F40" s="43">
        <v>5659.35</v>
      </c>
      <c r="G40" s="149">
        <v>2000</v>
      </c>
      <c r="I40" s="42"/>
      <c r="K40" s="41">
        <v>7.7</v>
      </c>
      <c r="L40" s="40">
        <v>43591</v>
      </c>
      <c r="M40" s="20"/>
      <c r="N40" s="36"/>
      <c r="O40" s="9">
        <f ca="1">IF(Tableau3383[[#This Row],[payée le
reçu le]]="",$N$1-Tableau3383[[#This Row],[Échéance]],"")</f>
        <v>1.6165368055590079</v>
      </c>
      <c r="P40" s="39">
        <f>IF(Tableau3383[[#This Row],[payée le
reçu le]]="",Tableau3383[[#This Row],[Montant
TTC
CHF]],"")</f>
        <v>5659.35</v>
      </c>
      <c r="Q40" s="38"/>
      <c r="S40" s="37"/>
      <c r="T40" s="36"/>
      <c r="U40" s="35"/>
      <c r="V40" s="34" t="s">
        <v>2</v>
      </c>
      <c r="W40" s="2" t="s">
        <v>94</v>
      </c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>
        <f>164.8+21.45</f>
        <v>186.25</v>
      </c>
      <c r="CV40" s="20">
        <f>167.5</f>
        <v>167.5</v>
      </c>
      <c r="CW40" s="20"/>
      <c r="CX40" s="20"/>
      <c r="CY40" s="20"/>
      <c r="CZ40" s="20"/>
      <c r="DA40" s="20"/>
      <c r="DB40" s="20">
        <v>4901</v>
      </c>
      <c r="DC40" s="20"/>
      <c r="DD40" s="20"/>
      <c r="DE40" s="20"/>
      <c r="DF40" s="20"/>
      <c r="DG40" s="20"/>
      <c r="DH40" s="20"/>
    </row>
    <row r="41" spans="1:240" x14ac:dyDescent="0.25">
      <c r="A41" s="46">
        <v>5375950006</v>
      </c>
      <c r="B41" s="40">
        <v>43532</v>
      </c>
      <c r="C41" s="40">
        <v>43532</v>
      </c>
      <c r="D41" s="45" t="s">
        <v>1</v>
      </c>
      <c r="E41" s="44">
        <f>SUM(Tableau3383[[#This Row],[Promerka
Group
TEMP]:[Coffre Fort]])</f>
        <v>1628.05</v>
      </c>
      <c r="F41" s="43">
        <v>1628.05</v>
      </c>
      <c r="G41" s="147">
        <v>2003</v>
      </c>
      <c r="I41" s="42"/>
      <c r="K41" s="41">
        <v>100</v>
      </c>
      <c r="L41" s="40">
        <v>43592</v>
      </c>
      <c r="M41" s="20"/>
      <c r="N41" s="36"/>
      <c r="O41" s="9">
        <f ca="1">IF(Tableau3383[[#This Row],[payée le
reçu le]]="",$N$1-Tableau3383[[#This Row],[Échéance]],"")</f>
        <v>0.61653680555900792</v>
      </c>
      <c r="P41" s="39">
        <f>IF(Tableau3383[[#This Row],[payée le
reçu le]]="",Tableau3383[[#This Row],[Montant
TTC
CHF]],"")</f>
        <v>1628.05</v>
      </c>
      <c r="Q41" s="38"/>
      <c r="S41" s="37"/>
      <c r="T41" s="36"/>
      <c r="U41" s="35"/>
      <c r="V41" s="34" t="s">
        <v>0</v>
      </c>
      <c r="W41" s="2" t="s">
        <v>69</v>
      </c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>
        <v>1628.05</v>
      </c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</row>
    <row r="42" spans="1:240" x14ac:dyDescent="0.25">
      <c r="A42" s="46">
        <v>4023988</v>
      </c>
      <c r="B42" s="40">
        <v>43532</v>
      </c>
      <c r="C42" s="40">
        <v>43532</v>
      </c>
      <c r="D42" s="45" t="s">
        <v>5</v>
      </c>
      <c r="E42" s="44">
        <f>SUM(Tableau3383[[#This Row],[Promerka
Group
TEMP]:[Coffre Fort]])</f>
        <v>1700.0000000000002</v>
      </c>
      <c r="F42" s="43">
        <v>1830.9</v>
      </c>
      <c r="G42" s="149">
        <v>2000</v>
      </c>
      <c r="I42" s="42"/>
      <c r="K42" s="41">
        <v>7.7</v>
      </c>
      <c r="L42" s="40">
        <v>43542</v>
      </c>
      <c r="M42" s="20"/>
      <c r="N42" s="36"/>
      <c r="O42" s="9">
        <f ca="1">IF(Tableau3383[[#This Row],[payée le
reçu le]]="",$N$1-Tableau3383[[#This Row],[Échéance]],"")</f>
        <v>50.616536805559008</v>
      </c>
      <c r="P42" s="39">
        <f>IF(Tableau3383[[#This Row],[payée le
reçu le]]="",Tableau3383[[#This Row],[Montant
TTC
CHF]],"")</f>
        <v>1830.9</v>
      </c>
      <c r="Q42" s="38"/>
      <c r="S42" s="37"/>
      <c r="T42" s="36"/>
      <c r="U42" s="35"/>
      <c r="V42" s="34" t="s">
        <v>2</v>
      </c>
      <c r="W42" s="2" t="s">
        <v>93</v>
      </c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>
        <f>1830.9/1.077</f>
        <v>1700.0000000000002</v>
      </c>
      <c r="CZ42" s="20"/>
      <c r="DA42" s="20"/>
      <c r="DB42" s="20"/>
      <c r="DC42" s="20"/>
      <c r="DD42" s="20"/>
      <c r="DE42" s="20"/>
      <c r="DF42" s="20"/>
      <c r="DG42" s="20"/>
      <c r="DH42" s="20"/>
    </row>
    <row r="43" spans="1:240" x14ac:dyDescent="0.25">
      <c r="A43" s="46">
        <v>1199080</v>
      </c>
      <c r="B43" s="40">
        <v>43535</v>
      </c>
      <c r="C43" s="40">
        <v>43542</v>
      </c>
      <c r="D43" s="45" t="s">
        <v>7</v>
      </c>
      <c r="E43" s="44">
        <f>SUM(Tableau3383[[#This Row],[Promerka
Group
TEMP]:[Coffre Fort]])</f>
        <v>89.23</v>
      </c>
      <c r="F43" s="43">
        <v>96.05</v>
      </c>
      <c r="G43" s="149">
        <v>2000</v>
      </c>
      <c r="I43" s="42"/>
      <c r="K43" s="41">
        <v>7.7</v>
      </c>
      <c r="L43" s="40">
        <v>43565</v>
      </c>
      <c r="M43" s="20"/>
      <c r="N43" s="36"/>
      <c r="O43" s="9">
        <f ca="1">IF(Tableau3383[[#This Row],[payée le
reçu le]]="",$N$1-Tableau3383[[#This Row],[Échéance]],"")</f>
        <v>27.616536805559008</v>
      </c>
      <c r="P43" s="39">
        <f>IF(Tableau3383[[#This Row],[payée le
reçu le]]="",Tableau3383[[#This Row],[Montant
TTC
CHF]],"")</f>
        <v>96.05</v>
      </c>
      <c r="Q43" s="38"/>
      <c r="S43" s="37"/>
      <c r="T43" s="36"/>
      <c r="U43" s="35"/>
      <c r="V43" s="34" t="s">
        <v>2</v>
      </c>
      <c r="W43" s="2" t="s">
        <v>92</v>
      </c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>
        <v>89.23</v>
      </c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</row>
    <row r="44" spans="1:240" hidden="1" x14ac:dyDescent="0.25">
      <c r="A44" s="46" t="s">
        <v>91</v>
      </c>
      <c r="B44" s="40">
        <v>43537</v>
      </c>
      <c r="C44" s="40">
        <v>43538</v>
      </c>
      <c r="D44" s="45" t="s">
        <v>8</v>
      </c>
      <c r="E44" s="44">
        <f>SUM(Tableau3383[[#This Row],[Promerka
Group
TEMP]:[Coffre Fort]])</f>
        <v>18731.169000000002</v>
      </c>
      <c r="F44" s="43">
        <f>Tableau3383[[#This Row],[Montant
€]]*Tableau3383[[#This Row],[Change € &gt; CH]]</f>
        <v>18731.168999999998</v>
      </c>
      <c r="G44" s="149">
        <v>2000</v>
      </c>
      <c r="I44" s="42">
        <v>1.1399999999999999</v>
      </c>
      <c r="J44" s="12">
        <v>16430.849999999999</v>
      </c>
      <c r="K44" s="41">
        <v>0</v>
      </c>
      <c r="L44" s="40">
        <v>43578</v>
      </c>
      <c r="M44" s="20"/>
      <c r="N44" s="36"/>
      <c r="O44" s="9">
        <f ca="1">IF(Tableau3383[[#This Row],[payée le
reçu le]]="",$N$1-Tableau3383[[#This Row],[Échéance]],"")</f>
        <v>14.616536805559008</v>
      </c>
      <c r="P44" s="39">
        <f>IF(Tableau3383[[#This Row],[payée le
reçu le]]="",Tableau3383[[#This Row],[Montant
TTC
CHF]],"")</f>
        <v>18731.168999999998</v>
      </c>
      <c r="Q44" s="38"/>
      <c r="S44" s="37"/>
      <c r="T44" s="36"/>
      <c r="U44" s="35"/>
      <c r="V44" s="34" t="s">
        <v>2</v>
      </c>
      <c r="W44" s="2" t="s">
        <v>90</v>
      </c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>
        <f>2750*Tableau3383[[#This Row],[Change € &gt; CH]]</f>
        <v>3134.9999999999995</v>
      </c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>
        <f>(125+3125+120.6+817.5+1500+1350)*Tableau3383[[#This Row],[Change € &gt; CH]]</f>
        <v>8023.4339999999993</v>
      </c>
      <c r="CO44" s="20">
        <f>(420+518+1271.9+1150)*Tableau3383[[#This Row],[Change € &gt; CH]]</f>
        <v>3830.2859999999996</v>
      </c>
      <c r="CP44" s="20"/>
      <c r="CQ44" s="20">
        <f>(2157.12+992.64)*Tableau3383[[#This Row],[Change € &gt; CH]]</f>
        <v>3590.7263999999996</v>
      </c>
      <c r="CR44" s="20"/>
      <c r="CS44" s="20"/>
      <c r="CT44" s="20"/>
      <c r="CU44" s="20"/>
      <c r="CV44" s="20"/>
      <c r="CW44" s="20"/>
      <c r="CX44" s="20"/>
      <c r="CY44" s="20"/>
      <c r="CZ44" s="20"/>
      <c r="DA44" s="20">
        <f>133.09*Tableau3383[[#This Row],[Change € &gt; CH]]</f>
        <v>151.7226</v>
      </c>
      <c r="DB44" s="20"/>
      <c r="DC44" s="20"/>
      <c r="DD44" s="20"/>
      <c r="DE44" s="20"/>
      <c r="DF44" s="20"/>
      <c r="DG44" s="20"/>
      <c r="DH44" s="20"/>
    </row>
    <row r="45" spans="1:240" hidden="1" x14ac:dyDescent="0.25">
      <c r="A45" s="46" t="s">
        <v>21</v>
      </c>
      <c r="B45" s="40">
        <v>43539</v>
      </c>
      <c r="C45" s="40">
        <v>43549</v>
      </c>
      <c r="D45" s="45" t="s">
        <v>20</v>
      </c>
      <c r="E45" s="44">
        <f>SUM(Tableau3383[[#This Row],[Promerka
Group
TEMP]:[Coffre Fort]])</f>
        <v>1325</v>
      </c>
      <c r="F45" s="43">
        <v>1325</v>
      </c>
      <c r="G45" s="149">
        <v>2000</v>
      </c>
      <c r="H45" s="13">
        <f>Tableau3383[[#This Row],[Montant
TTC
CHF]]-1285.25</f>
        <v>39.75</v>
      </c>
      <c r="I45" s="42"/>
      <c r="K45" s="41">
        <v>0</v>
      </c>
      <c r="L45" s="40">
        <v>43585</v>
      </c>
      <c r="M45" s="20"/>
      <c r="N45" s="36"/>
      <c r="O45" s="9">
        <f ca="1">IF(Tableau3383[[#This Row],[payée le
reçu le]]="",$N$1-Tableau3383[[#This Row],[Échéance]],"")</f>
        <v>7.6165368055590079</v>
      </c>
      <c r="P45" s="39">
        <f>IF(Tableau3383[[#This Row],[payée le
reçu le]]="",Tableau3383[[#This Row],[Montant
TTC
CHF]],"")</f>
        <v>1325</v>
      </c>
      <c r="Q45" s="38"/>
      <c r="S45" s="37"/>
      <c r="T45" s="36"/>
      <c r="U45" s="35"/>
      <c r="V45" s="34" t="s">
        <v>3</v>
      </c>
      <c r="W45" s="2" t="s">
        <v>31</v>
      </c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>
        <v>1325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</row>
    <row r="46" spans="1:240" x14ac:dyDescent="0.25">
      <c r="A46" s="46">
        <v>5375991751</v>
      </c>
      <c r="B46" s="40">
        <v>43539</v>
      </c>
      <c r="C46" s="40">
        <v>43542</v>
      </c>
      <c r="D46" s="45" t="s">
        <v>1</v>
      </c>
      <c r="E46" s="44">
        <f>SUM(Tableau3383[[#This Row],[Promerka
Group
TEMP]:[Coffre Fort]])</f>
        <v>1336.1</v>
      </c>
      <c r="F46" s="43">
        <v>1336.1</v>
      </c>
      <c r="G46" s="147">
        <v>2003</v>
      </c>
      <c r="I46" s="42"/>
      <c r="K46" s="41">
        <v>100</v>
      </c>
      <c r="L46" s="40">
        <v>43599</v>
      </c>
      <c r="M46" s="20"/>
      <c r="N46" s="36"/>
      <c r="O46" s="9">
        <f ca="1">IF(Tableau3383[[#This Row],[payée le
reçu le]]="",$N$1-Tableau3383[[#This Row],[Échéance]],"")</f>
        <v>-6.3834631944409921</v>
      </c>
      <c r="P46" s="39">
        <f>IF(Tableau3383[[#This Row],[payée le
reçu le]]="",Tableau3383[[#This Row],[Montant
TTC
CHF]],"")</f>
        <v>1336.1</v>
      </c>
      <c r="Q46" s="38"/>
      <c r="S46" s="37"/>
      <c r="T46" s="36"/>
      <c r="U46" s="35"/>
      <c r="V46" s="34" t="s">
        <v>0</v>
      </c>
      <c r="W46" s="2" t="s">
        <v>65</v>
      </c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>
        <v>1336.1</v>
      </c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</row>
    <row r="47" spans="1:240" x14ac:dyDescent="0.25">
      <c r="A47" s="46">
        <v>429229101</v>
      </c>
      <c r="B47" s="40">
        <v>43539</v>
      </c>
      <c r="C47" s="40">
        <v>43544</v>
      </c>
      <c r="D47" s="45" t="s">
        <v>10</v>
      </c>
      <c r="E47" s="44">
        <f>SUM(Tableau3383[[#This Row],[Promerka
Group
TEMP]:[Coffre Fort]])</f>
        <v>1059.55</v>
      </c>
      <c r="F47" s="43">
        <v>1059.55</v>
      </c>
      <c r="G47" s="147">
        <v>2003</v>
      </c>
      <c r="I47" s="42"/>
      <c r="K47" s="41">
        <v>7.7</v>
      </c>
      <c r="L47" s="40">
        <v>43570</v>
      </c>
      <c r="M47" s="20"/>
      <c r="N47" s="36"/>
      <c r="O47" s="9">
        <f ca="1">IF(Tableau3383[[#This Row],[payée le
reçu le]]="",$N$1-Tableau3383[[#This Row],[Échéance]],"")</f>
        <v>22.616536805559008</v>
      </c>
      <c r="P47" s="39">
        <f>IF(Tableau3383[[#This Row],[payée le
reçu le]]="",Tableau3383[[#This Row],[Montant
TTC
CHF]],"")</f>
        <v>1059.55</v>
      </c>
      <c r="Q47" s="38"/>
      <c r="S47" s="37"/>
      <c r="T47" s="36"/>
      <c r="U47" s="35"/>
      <c r="V47" s="34" t="s">
        <v>9</v>
      </c>
      <c r="W47" s="2" t="s">
        <v>64</v>
      </c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>
        <v>1059.55</v>
      </c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</row>
    <row r="48" spans="1:240" x14ac:dyDescent="0.25">
      <c r="A48" s="46">
        <v>4024385</v>
      </c>
      <c r="B48" s="40">
        <v>43542</v>
      </c>
      <c r="C48" s="40">
        <v>43542</v>
      </c>
      <c r="D48" s="45" t="s">
        <v>5</v>
      </c>
      <c r="E48" s="44">
        <f>SUM(Tableau3383[[#This Row],[Promerka
Group
TEMP]:[Coffre Fort]])</f>
        <v>1287</v>
      </c>
      <c r="F48" s="43">
        <v>1386.1</v>
      </c>
      <c r="G48" s="149">
        <v>2000</v>
      </c>
      <c r="I48" s="42"/>
      <c r="K48" s="41">
        <v>7.7</v>
      </c>
      <c r="L48" s="40">
        <v>43602</v>
      </c>
      <c r="M48" s="20"/>
      <c r="N48" s="36"/>
      <c r="O48" s="9">
        <f ca="1">IF(Tableau3383[[#This Row],[payée le
reçu le]]="",$N$1-Tableau3383[[#This Row],[Échéance]],"")</f>
        <v>-9.3834631944409921</v>
      </c>
      <c r="P48" s="39">
        <f>IF(Tableau3383[[#This Row],[payée le
reçu le]]="",Tableau3383[[#This Row],[Montant
TTC
CHF]],"")</f>
        <v>1386.1</v>
      </c>
      <c r="Q48" s="38"/>
      <c r="S48" s="37"/>
      <c r="T48" s="36"/>
      <c r="U48" s="35"/>
      <c r="V48" s="34" t="s">
        <v>2</v>
      </c>
      <c r="W48" s="2" t="s">
        <v>88</v>
      </c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>
        <v>1287</v>
      </c>
      <c r="CZ48" s="20"/>
      <c r="DA48" s="20"/>
      <c r="DB48" s="20"/>
      <c r="DC48" s="20"/>
      <c r="DD48" s="20"/>
      <c r="DE48" s="20"/>
      <c r="DF48" s="20"/>
      <c r="DG48" s="20"/>
      <c r="DH48" s="20"/>
    </row>
    <row r="49" spans="1:112" x14ac:dyDescent="0.25">
      <c r="A49" s="46">
        <v>21930447</v>
      </c>
      <c r="B49" s="40">
        <v>43542</v>
      </c>
      <c r="C49" s="40">
        <v>43549</v>
      </c>
      <c r="D49" s="45" t="s">
        <v>26</v>
      </c>
      <c r="E49" s="44">
        <f>SUM(Tableau3383[[#This Row],[Promerka
Group
TEMP]:[Coffre Fort]])</f>
        <v>230</v>
      </c>
      <c r="F49" s="43">
        <v>247.7</v>
      </c>
      <c r="G49" s="147">
        <v>2003</v>
      </c>
      <c r="I49" s="42"/>
      <c r="K49" s="41">
        <v>7.7</v>
      </c>
      <c r="L49" s="40">
        <v>43552</v>
      </c>
      <c r="M49" s="20"/>
      <c r="N49" s="36"/>
      <c r="O49" s="9">
        <f ca="1">IF(Tableau3383[[#This Row],[payée le
reçu le]]="",$N$1-Tableau3383[[#This Row],[Échéance]],"")</f>
        <v>40.616536805559008</v>
      </c>
      <c r="P49" s="39">
        <f>IF(Tableau3383[[#This Row],[payée le
reçu le]]="",Tableau3383[[#This Row],[Montant
TTC
CHF]],"")</f>
        <v>247.7</v>
      </c>
      <c r="Q49" s="38"/>
      <c r="S49" s="37"/>
      <c r="T49" s="36"/>
      <c r="U49" s="35"/>
      <c r="V49" s="34" t="s">
        <v>6</v>
      </c>
      <c r="W49" s="2" t="s">
        <v>63</v>
      </c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>
        <v>230</v>
      </c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</row>
    <row r="50" spans="1:112" hidden="1" x14ac:dyDescent="0.25">
      <c r="A50" s="46">
        <v>5376008526</v>
      </c>
      <c r="B50" s="40">
        <v>43543</v>
      </c>
      <c r="C50" s="40">
        <v>43543</v>
      </c>
      <c r="D50" s="45" t="s">
        <v>1</v>
      </c>
      <c r="E50" s="44">
        <f>SUM(Tableau3383[[#This Row],[Promerka
Group
TEMP]:[Coffre Fort]])</f>
        <v>96.4</v>
      </c>
      <c r="F50" s="43">
        <v>96.4</v>
      </c>
      <c r="G50" s="147">
        <v>2000</v>
      </c>
      <c r="I50" s="42"/>
      <c r="K50" s="41">
        <v>100</v>
      </c>
      <c r="L50" s="40">
        <v>43605</v>
      </c>
      <c r="M50" s="20"/>
      <c r="N50" s="36"/>
      <c r="O50" s="9">
        <f ca="1">IF(Tableau3383[[#This Row],[payée le
reçu le]]="",$N$1-Tableau3383[[#This Row],[Échéance]],"")</f>
        <v>-12.383463194440992</v>
      </c>
      <c r="P50" s="39">
        <f>IF(Tableau3383[[#This Row],[payée le
reçu le]]="",Tableau3383[[#This Row],[Montant
TTC
CHF]],"")</f>
        <v>96.4</v>
      </c>
      <c r="Q50" s="38"/>
      <c r="S50" s="37"/>
      <c r="T50" s="36"/>
      <c r="U50" s="35"/>
      <c r="V50" s="34" t="s">
        <v>0</v>
      </c>
      <c r="W50" s="2" t="s">
        <v>62</v>
      </c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>
        <v>96.4</v>
      </c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</row>
    <row r="51" spans="1:112" x14ac:dyDescent="0.25">
      <c r="A51" s="151">
        <v>4024455</v>
      </c>
      <c r="B51" s="40">
        <v>43543</v>
      </c>
      <c r="C51" s="40">
        <v>43543</v>
      </c>
      <c r="D51" s="153" t="s">
        <v>5</v>
      </c>
      <c r="E51" s="154">
        <f>SUM(Tableau3383[[#This Row],[Promerka
Group
TEMP]:[Coffre Fort]])</f>
        <v>1112</v>
      </c>
      <c r="F51" s="155">
        <v>1197.5999999999999</v>
      </c>
      <c r="G51" s="149">
        <v>2000</v>
      </c>
      <c r="H51" s="157"/>
      <c r="I51" s="158"/>
      <c r="J51" s="159"/>
      <c r="K51" s="41">
        <v>7.7</v>
      </c>
      <c r="L51" s="152">
        <v>43603</v>
      </c>
      <c r="M51" s="160"/>
      <c r="N51" s="161"/>
      <c r="O51" s="162">
        <f ca="1">IF(Tableau3383[[#This Row],[payée le
reçu le]]="",$N$1-Tableau3383[[#This Row],[Échéance]],"")</f>
        <v>-10.383463194440992</v>
      </c>
      <c r="P51" s="163">
        <f>IF(Tableau3383[[#This Row],[payée le
reçu le]]="",Tableau3383[[#This Row],[Montant
TTC
CHF]],"")</f>
        <v>1197.5999999999999</v>
      </c>
      <c r="Q51" s="156"/>
      <c r="R51" s="164"/>
      <c r="S51" s="165"/>
      <c r="T51" s="161"/>
      <c r="U51" s="166"/>
      <c r="V51" s="167" t="s">
        <v>2</v>
      </c>
      <c r="W51" s="168" t="s">
        <v>248</v>
      </c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2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2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>
        <v>278</v>
      </c>
      <c r="CZ51" s="160"/>
      <c r="DA51" s="160"/>
      <c r="DB51" s="160">
        <f>676+158</f>
        <v>834</v>
      </c>
      <c r="DC51" s="160"/>
      <c r="DD51" s="160"/>
      <c r="DE51" s="160"/>
      <c r="DF51" s="160"/>
      <c r="DG51" s="160"/>
      <c r="DH51" s="160"/>
    </row>
    <row r="52" spans="1:112" x14ac:dyDescent="0.25">
      <c r="A52" s="46">
        <v>1202251</v>
      </c>
      <c r="B52" s="40">
        <v>43543</v>
      </c>
      <c r="C52" s="40">
        <v>43549</v>
      </c>
      <c r="D52" s="45" t="s">
        <v>7</v>
      </c>
      <c r="E52" s="44">
        <f>SUM(Tableau3383[[#This Row],[Promerka
Group
TEMP]:[Coffre Fort]])</f>
        <v>14.65</v>
      </c>
      <c r="F52" s="43">
        <v>15.75</v>
      </c>
      <c r="G52" s="149">
        <v>2000</v>
      </c>
      <c r="I52" s="42"/>
      <c r="K52" s="41">
        <v>7.7</v>
      </c>
      <c r="L52" s="40">
        <v>43573</v>
      </c>
      <c r="M52" s="20"/>
      <c r="N52" s="36"/>
      <c r="O52" s="9">
        <f ca="1">IF(Tableau3383[[#This Row],[payée le
reçu le]]="",$N$1-Tableau3383[[#This Row],[Échéance]],"")</f>
        <v>19.616536805559008</v>
      </c>
      <c r="P52" s="39">
        <f>IF(Tableau3383[[#This Row],[payée le
reçu le]]="",Tableau3383[[#This Row],[Montant
TTC
CHF]],"")</f>
        <v>15.75</v>
      </c>
      <c r="Q52" s="38"/>
      <c r="S52" s="37"/>
      <c r="T52" s="36"/>
      <c r="U52" s="35"/>
      <c r="V52" s="34" t="s">
        <v>18</v>
      </c>
      <c r="W52" s="2" t="s">
        <v>61</v>
      </c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>
        <v>14.65</v>
      </c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</row>
    <row r="53" spans="1:112" x14ac:dyDescent="0.25">
      <c r="A53" s="46">
        <v>4024548</v>
      </c>
      <c r="B53" s="40">
        <v>43544</v>
      </c>
      <c r="C53" s="40">
        <v>43544</v>
      </c>
      <c r="D53" s="45" t="s">
        <v>5</v>
      </c>
      <c r="E53" s="44">
        <f>SUM(Tableau3383[[#This Row],[Promerka
Group
TEMP]:[Coffre Fort]])</f>
        <v>218</v>
      </c>
      <c r="F53" s="43">
        <v>247.6</v>
      </c>
      <c r="G53" s="149">
        <v>2000</v>
      </c>
      <c r="I53" s="42"/>
      <c r="K53" s="41">
        <v>7.7</v>
      </c>
      <c r="L53" s="40">
        <v>43604</v>
      </c>
      <c r="M53" s="20"/>
      <c r="N53" s="36"/>
      <c r="O53" s="9">
        <f ca="1">IF(Tableau3383[[#This Row],[payée le
reçu le]]="",$N$1-Tableau3383[[#This Row],[Échéance]],"")</f>
        <v>-11.383463194440992</v>
      </c>
      <c r="P53" s="39">
        <f>IF(Tableau3383[[#This Row],[payée le
reçu le]]="",Tableau3383[[#This Row],[Montant
TTC
CHF]],"")</f>
        <v>247.6</v>
      </c>
      <c r="Q53" s="38"/>
      <c r="S53" s="37"/>
      <c r="T53" s="36"/>
      <c r="U53" s="35"/>
      <c r="V53" s="34" t="s">
        <v>2</v>
      </c>
      <c r="W53" s="2" t="s">
        <v>87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>
        <v>218</v>
      </c>
      <c r="CZ53" s="20"/>
      <c r="DA53" s="20"/>
      <c r="DB53" s="20"/>
      <c r="DC53" s="20"/>
      <c r="DD53" s="20"/>
      <c r="DE53" s="20"/>
      <c r="DF53" s="20"/>
      <c r="DG53" s="20"/>
      <c r="DH53" s="20"/>
    </row>
    <row r="54" spans="1:112" x14ac:dyDescent="0.25">
      <c r="A54" s="46">
        <v>1202724</v>
      </c>
      <c r="B54" s="40">
        <v>43544</v>
      </c>
      <c r="C54" s="40">
        <v>43552</v>
      </c>
      <c r="D54" s="45" t="s">
        <v>7</v>
      </c>
      <c r="E54" s="44">
        <f>SUM(Tableau3383[[#This Row],[Promerka
Group
TEMP]:[Coffre Fort]])</f>
        <v>263.91000000000003</v>
      </c>
      <c r="F54" s="43">
        <v>284.2</v>
      </c>
      <c r="G54" s="149">
        <v>2000</v>
      </c>
      <c r="I54" s="42"/>
      <c r="K54" s="41">
        <v>7.7</v>
      </c>
      <c r="L54" s="40">
        <v>43574</v>
      </c>
      <c r="M54" s="20"/>
      <c r="N54" s="36"/>
      <c r="O54" s="9">
        <f ca="1">IF(Tableau3383[[#This Row],[payée le
reçu le]]="",$N$1-Tableau3383[[#This Row],[Échéance]],"")</f>
        <v>18.616536805559008</v>
      </c>
      <c r="P54" s="39">
        <f>IF(Tableau3383[[#This Row],[payée le
reçu le]]="",Tableau3383[[#This Row],[Montant
TTC
CHF]],"")</f>
        <v>284.2</v>
      </c>
      <c r="Q54" s="38"/>
      <c r="S54" s="37"/>
      <c r="T54" s="36"/>
      <c r="U54" s="35"/>
      <c r="V54" s="34" t="s">
        <v>2</v>
      </c>
      <c r="W54" s="2" t="s">
        <v>85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>
        <v>263.91000000000003</v>
      </c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</row>
    <row r="55" spans="1:112" hidden="1" x14ac:dyDescent="0.25">
      <c r="A55" s="46" t="s">
        <v>58</v>
      </c>
      <c r="B55" s="40">
        <v>43544</v>
      </c>
      <c r="C55" s="40">
        <v>43552</v>
      </c>
      <c r="D55" s="45" t="s">
        <v>57</v>
      </c>
      <c r="E55" s="44">
        <f>SUM(Tableau3383[[#This Row],[Promerka
Group
TEMP]:[Coffre Fort]])</f>
        <v>90.6</v>
      </c>
      <c r="F55" s="43">
        <v>90.6</v>
      </c>
      <c r="G55" s="147">
        <v>2000</v>
      </c>
      <c r="I55" s="42"/>
      <c r="K55" s="41">
        <v>0</v>
      </c>
      <c r="L55" s="40">
        <v>43556</v>
      </c>
      <c r="M55" s="20"/>
      <c r="N55" s="36" t="s">
        <v>56</v>
      </c>
      <c r="O55" s="9">
        <f ca="1">IF(Tableau3383[[#This Row],[payée le
reçu le]]="",$N$1-Tableau3383[[#This Row],[Échéance]],"")</f>
        <v>36.616536805559008</v>
      </c>
      <c r="P55" s="39">
        <f>IF(Tableau3383[[#This Row],[payée le
reçu le]]="",Tableau3383[[#This Row],[Montant
TTC
CHF]],"")</f>
        <v>90.6</v>
      </c>
      <c r="Q55" s="38"/>
      <c r="S55" s="37"/>
      <c r="T55" s="36"/>
      <c r="U55" s="35"/>
      <c r="V55" s="34" t="s">
        <v>14</v>
      </c>
      <c r="W55" s="2" t="s">
        <v>60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>
        <v>90.6</v>
      </c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</row>
    <row r="56" spans="1:112" hidden="1" x14ac:dyDescent="0.25">
      <c r="A56" s="46" t="s">
        <v>58</v>
      </c>
      <c r="B56" s="40">
        <v>43544</v>
      </c>
      <c r="C56" s="40">
        <v>43552</v>
      </c>
      <c r="D56" s="45" t="s">
        <v>57</v>
      </c>
      <c r="E56" s="44">
        <f>SUM(Tableau3383[[#This Row],[Promerka
Group
TEMP]:[Coffre Fort]])</f>
        <v>90.6</v>
      </c>
      <c r="F56" s="43">
        <v>90.6</v>
      </c>
      <c r="G56" s="147">
        <v>2000</v>
      </c>
      <c r="I56" s="42"/>
      <c r="K56" s="41">
        <v>0</v>
      </c>
      <c r="L56" s="40">
        <v>43556</v>
      </c>
      <c r="M56" s="20"/>
      <c r="N56" s="36" t="s">
        <v>56</v>
      </c>
      <c r="O56" s="9">
        <f ca="1">IF(Tableau3383[[#This Row],[payée le
reçu le]]="",$N$1-Tableau3383[[#This Row],[Échéance]],"")</f>
        <v>36.616536805559008</v>
      </c>
      <c r="P56" s="39">
        <f>IF(Tableau3383[[#This Row],[payée le
reçu le]]="",Tableau3383[[#This Row],[Montant
TTC
CHF]],"")</f>
        <v>90.6</v>
      </c>
      <c r="Q56" s="38"/>
      <c r="S56" s="37"/>
      <c r="T56" s="36"/>
      <c r="U56" s="35"/>
      <c r="V56" s="34" t="s">
        <v>14</v>
      </c>
      <c r="W56" s="2" t="s">
        <v>59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>
        <v>90.6</v>
      </c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</row>
    <row r="57" spans="1:112" hidden="1" x14ac:dyDescent="0.25">
      <c r="A57" s="46" t="s">
        <v>58</v>
      </c>
      <c r="B57" s="40">
        <v>43544</v>
      </c>
      <c r="C57" s="40">
        <v>43552</v>
      </c>
      <c r="D57" s="45" t="s">
        <v>57</v>
      </c>
      <c r="E57" s="44">
        <f>SUM(Tableau3383[[#This Row],[Promerka
Group
TEMP]:[Coffre Fort]])</f>
        <v>90.6</v>
      </c>
      <c r="F57" s="43">
        <v>90.6</v>
      </c>
      <c r="G57" s="147">
        <v>2000</v>
      </c>
      <c r="I57" s="42"/>
      <c r="K57" s="41">
        <v>0</v>
      </c>
      <c r="L57" s="40">
        <v>43556</v>
      </c>
      <c r="M57" s="20"/>
      <c r="N57" s="36" t="s">
        <v>56</v>
      </c>
      <c r="O57" s="9">
        <f ca="1">IF(Tableau3383[[#This Row],[payée le
reçu le]]="",$N$1-Tableau3383[[#This Row],[Échéance]],"")</f>
        <v>36.616536805559008</v>
      </c>
      <c r="P57" s="39">
        <f>IF(Tableau3383[[#This Row],[payée le
reçu le]]="",Tableau3383[[#This Row],[Montant
TTC
CHF]],"")</f>
        <v>90.6</v>
      </c>
      <c r="Q57" s="38"/>
      <c r="S57" s="37"/>
      <c r="T57" s="36"/>
      <c r="U57" s="35"/>
      <c r="V57" s="34" t="s">
        <v>14</v>
      </c>
      <c r="W57" s="2" t="s">
        <v>55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>
        <v>90.6</v>
      </c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</row>
    <row r="58" spans="1:112" x14ac:dyDescent="0.25">
      <c r="A58" s="46">
        <v>429365801</v>
      </c>
      <c r="B58" s="40">
        <v>43545</v>
      </c>
      <c r="C58" s="40">
        <v>43549</v>
      </c>
      <c r="D58" s="45" t="s">
        <v>10</v>
      </c>
      <c r="E58" s="44">
        <f>SUM(Tableau3383[[#This Row],[Promerka
Group
TEMP]:[Coffre Fort]])</f>
        <v>273.75</v>
      </c>
      <c r="F58" s="43">
        <v>294.85000000000002</v>
      </c>
      <c r="G58" s="147">
        <v>2003</v>
      </c>
      <c r="I58" s="42"/>
      <c r="K58" s="41">
        <v>7.7</v>
      </c>
      <c r="L58" s="40">
        <v>43576</v>
      </c>
      <c r="M58" s="20"/>
      <c r="N58" s="36"/>
      <c r="O58" s="9">
        <f ca="1">IF(Tableau3383[[#This Row],[payée le
reçu le]]="",$N$1-Tableau3383[[#This Row],[Échéance]],"")</f>
        <v>16.616536805559008</v>
      </c>
      <c r="P58" s="39">
        <f>IF(Tableau3383[[#This Row],[payée le
reçu le]]="",Tableau3383[[#This Row],[Montant
TTC
CHF]],"")</f>
        <v>294.85000000000002</v>
      </c>
      <c r="Q58" s="38"/>
      <c r="S58" s="37"/>
      <c r="T58" s="36"/>
      <c r="U58" s="35"/>
      <c r="V58" s="34" t="s">
        <v>9</v>
      </c>
      <c r="W58" s="2" t="s">
        <v>52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>
        <v>273.75</v>
      </c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</row>
    <row r="59" spans="1:112" x14ac:dyDescent="0.25">
      <c r="A59" s="46">
        <v>4024703</v>
      </c>
      <c r="B59" s="40">
        <v>43546</v>
      </c>
      <c r="C59" s="40">
        <v>43546</v>
      </c>
      <c r="D59" s="45" t="s">
        <v>5</v>
      </c>
      <c r="E59" s="44">
        <f>SUM(Tableau3383[[#This Row],[Promerka
Group
TEMP]:[Coffre Fort]])</f>
        <v>144.9</v>
      </c>
      <c r="F59" s="43">
        <v>156.05000000000001</v>
      </c>
      <c r="G59" s="149">
        <v>2000</v>
      </c>
      <c r="I59" s="42"/>
      <c r="K59" s="41">
        <v>7.7</v>
      </c>
      <c r="L59" s="40">
        <v>43606</v>
      </c>
      <c r="M59" s="20"/>
      <c r="N59" s="36"/>
      <c r="O59" s="9">
        <f ca="1">IF(Tableau3383[[#This Row],[payée le
reçu le]]="",$N$1-Tableau3383[[#This Row],[Échéance]],"")</f>
        <v>-13.383463194440992</v>
      </c>
      <c r="P59" s="39">
        <f>IF(Tableau3383[[#This Row],[payée le
reçu le]]="",Tableau3383[[#This Row],[Montant
TTC
CHF]],"")</f>
        <v>156.05000000000001</v>
      </c>
      <c r="Q59" s="38"/>
      <c r="S59" s="37"/>
      <c r="T59" s="36"/>
      <c r="U59" s="35"/>
      <c r="V59" s="34" t="s">
        <v>2</v>
      </c>
      <c r="W59" s="2" t="s">
        <v>83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>
        <v>11.9</v>
      </c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>
        <v>133</v>
      </c>
      <c r="CZ59" s="20"/>
      <c r="DA59" s="20"/>
      <c r="DB59" s="20"/>
      <c r="DC59" s="20"/>
      <c r="DD59" s="20"/>
      <c r="DE59" s="20"/>
      <c r="DF59" s="20"/>
      <c r="DG59" s="20"/>
      <c r="DH59" s="20"/>
    </row>
    <row r="60" spans="1:112" x14ac:dyDescent="0.25">
      <c r="A60" s="46">
        <v>4024792</v>
      </c>
      <c r="B60" s="40">
        <v>43549</v>
      </c>
      <c r="C60" s="40">
        <v>43549</v>
      </c>
      <c r="D60" s="45" t="s">
        <v>5</v>
      </c>
      <c r="E60" s="44">
        <f>SUM(Tableau3383[[#This Row],[Promerka
Group
TEMP]:[Coffre Fort]])</f>
        <v>898</v>
      </c>
      <c r="F60" s="43">
        <v>967.15</v>
      </c>
      <c r="G60" s="149">
        <v>2000</v>
      </c>
      <c r="I60" s="42"/>
      <c r="K60" s="41">
        <v>7.7</v>
      </c>
      <c r="L60" s="40">
        <v>43609</v>
      </c>
      <c r="M60" s="20"/>
      <c r="N60" s="36"/>
      <c r="O60" s="9">
        <f ca="1">IF(Tableau3383[[#This Row],[payée le
reçu le]]="",$N$1-Tableau3383[[#This Row],[Échéance]],"")</f>
        <v>-16.383463194440992</v>
      </c>
      <c r="P60" s="39">
        <f>IF(Tableau3383[[#This Row],[payée le
reçu le]]="",Tableau3383[[#This Row],[Montant
TTC
CHF]],"")</f>
        <v>967.15</v>
      </c>
      <c r="Q60" s="38"/>
      <c r="S60" s="37"/>
      <c r="T60" s="36"/>
      <c r="U60" s="35"/>
      <c r="V60" s="34" t="s">
        <v>2</v>
      </c>
      <c r="W60" s="2" t="s">
        <v>82</v>
      </c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>
        <v>898</v>
      </c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</row>
    <row r="61" spans="1:112" x14ac:dyDescent="0.25">
      <c r="A61" s="46">
        <v>13884895</v>
      </c>
      <c r="B61" s="40">
        <v>43549</v>
      </c>
      <c r="C61" s="40">
        <v>43552</v>
      </c>
      <c r="D61" s="45" t="s">
        <v>24</v>
      </c>
      <c r="E61" s="44">
        <f>SUM(Tableau3383[[#This Row],[Promerka
Group
TEMP]:[Coffre Fort]])</f>
        <v>265.95</v>
      </c>
      <c r="F61" s="43">
        <v>265.95</v>
      </c>
      <c r="G61" s="147">
        <v>2003</v>
      </c>
      <c r="I61" s="42"/>
      <c r="K61" s="41" t="s">
        <v>51</v>
      </c>
      <c r="L61" s="40">
        <v>43570</v>
      </c>
      <c r="M61" s="20"/>
      <c r="N61" s="36" t="s">
        <v>50</v>
      </c>
      <c r="O61" s="9">
        <f ca="1">IF(Tableau3383[[#This Row],[payée le
reçu le]]="",$N$1-Tableau3383[[#This Row],[Échéance]],"")</f>
        <v>22.616536805559008</v>
      </c>
      <c r="P61" s="39">
        <f>IF(Tableau3383[[#This Row],[payée le
reçu le]]="",Tableau3383[[#This Row],[Montant
TTC
CHF]],"")</f>
        <v>265.95</v>
      </c>
      <c r="Q61" s="38"/>
      <c r="S61" s="37"/>
      <c r="T61" s="36"/>
      <c r="U61" s="35"/>
      <c r="V61" s="34" t="s">
        <v>49</v>
      </c>
      <c r="W61" s="2" t="s">
        <v>48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>
        <v>219.45</v>
      </c>
      <c r="BS61" s="20"/>
      <c r="BT61" s="20">
        <v>6.5</v>
      </c>
      <c r="BU61" s="20">
        <v>40</v>
      </c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</row>
    <row r="62" spans="1:112" hidden="1" x14ac:dyDescent="0.25">
      <c r="A62" s="46">
        <v>8308</v>
      </c>
      <c r="B62" s="40">
        <v>43551</v>
      </c>
      <c r="C62" s="40">
        <v>43553</v>
      </c>
      <c r="D62" s="45" t="s">
        <v>19</v>
      </c>
      <c r="E62" s="44">
        <f>SUM(Tableau3383[[#This Row],[Promerka
Group
TEMP]:[Coffre Fort]])</f>
        <v>2713.3099999999995</v>
      </c>
      <c r="F62" s="43">
        <f>Tableau3383[[#This Row],[Montant
€]]*Tableau3383[[#This Row],[Change € &gt; CH]]</f>
        <v>2713.31</v>
      </c>
      <c r="G62" s="147">
        <v>2000</v>
      </c>
      <c r="I62" s="12">
        <v>1.1499999999999999</v>
      </c>
      <c r="J62" s="12">
        <v>2359.4</v>
      </c>
      <c r="K62" s="41">
        <v>0</v>
      </c>
      <c r="L62" s="40">
        <v>43581</v>
      </c>
      <c r="M62" s="20"/>
      <c r="N62" s="36"/>
      <c r="O62" s="9">
        <f ca="1">IF(Tableau3383[[#This Row],[payée le
reçu le]]="",$N$1-Tableau3383[[#This Row],[Échéance]],"")</f>
        <v>11.616536805559008</v>
      </c>
      <c r="P62" s="39">
        <f>IF(Tableau3383[[#This Row],[payée le
reçu le]]="",Tableau3383[[#This Row],[Montant
TTC
CHF]],"")</f>
        <v>2713.31</v>
      </c>
      <c r="Q62" s="38"/>
      <c r="S62" s="37"/>
      <c r="T62" s="36"/>
      <c r="U62" s="35"/>
      <c r="V62" s="34" t="s">
        <v>2</v>
      </c>
      <c r="W62" s="2" t="s">
        <v>45</v>
      </c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>
        <f>(16+146+392+20+14+12+18)*Tableau3383[[#This Row],[Change € &gt; CH]]</f>
        <v>710.69999999999993</v>
      </c>
      <c r="CO62" s="20"/>
      <c r="CP62" s="20">
        <f>(354+159.3+140.4+140.4+140.4)*Tableau3383[[#This Row],[Change € &gt; CH]]</f>
        <v>1074.6749999999997</v>
      </c>
      <c r="CQ62" s="20">
        <f>(97+97+26+122+10+301+90+63.9)*Tableau3383[[#This Row],[Change € &gt; CH]]</f>
        <v>927.93499999999995</v>
      </c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</row>
    <row r="63" spans="1:112" hidden="1" x14ac:dyDescent="0.25">
      <c r="A63" s="46" t="s">
        <v>68</v>
      </c>
      <c r="B63" s="40">
        <v>43551</v>
      </c>
      <c r="C63" s="40">
        <v>43556</v>
      </c>
      <c r="D63" s="45" t="s">
        <v>67</v>
      </c>
      <c r="E63" s="44">
        <f>SUM(Tableau3383[[#This Row],[Promerka
Group
TEMP]:[Coffre Fort]])</f>
        <v>1035.2</v>
      </c>
      <c r="F63" s="43">
        <v>1035.2</v>
      </c>
      <c r="G63" s="147">
        <v>2000</v>
      </c>
      <c r="I63" s="42"/>
      <c r="K63" s="41">
        <v>0</v>
      </c>
      <c r="L63" s="40">
        <v>43551</v>
      </c>
      <c r="M63" s="20"/>
      <c r="N63" s="36"/>
      <c r="O63" s="9">
        <f ca="1">IF(Tableau3383[[#This Row],[payée le
reçu le]]="",$N$1-Tableau3383[[#This Row],[Échéance]],"")</f>
        <v>41.616536805559008</v>
      </c>
      <c r="P63" s="39">
        <f>IF(Tableau3383[[#This Row],[payée le
reçu le]]="",Tableau3383[[#This Row],[Montant
TTC
CHF]],"")</f>
        <v>1035.2</v>
      </c>
      <c r="Q63" s="38"/>
      <c r="S63" s="37"/>
      <c r="T63" s="36"/>
      <c r="U63" s="35"/>
      <c r="V63" s="34" t="s">
        <v>9</v>
      </c>
      <c r="W63" s="2" t="s">
        <v>66</v>
      </c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>
        <v>1035.2</v>
      </c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</row>
    <row r="64" spans="1:112" x14ac:dyDescent="0.25">
      <c r="A64" s="18">
        <v>168276</v>
      </c>
      <c r="B64" s="10">
        <v>43551</v>
      </c>
      <c r="C64" s="10">
        <v>43552</v>
      </c>
      <c r="D64" s="17" t="s">
        <v>4</v>
      </c>
      <c r="E64" s="16">
        <f>SUM(Tableau3383[[#This Row],[Promerka
Group
TEMP]:[Coffre Fort]])</f>
        <v>90.1</v>
      </c>
      <c r="F64" s="15">
        <v>97.05</v>
      </c>
      <c r="G64" s="147">
        <v>2003</v>
      </c>
      <c r="H64" s="15"/>
      <c r="I64" s="15"/>
      <c r="J64" s="1"/>
      <c r="K64" s="11">
        <v>7.7</v>
      </c>
      <c r="L64" s="10">
        <v>43561</v>
      </c>
      <c r="N64" s="4" t="s">
        <v>47</v>
      </c>
      <c r="O64" s="49">
        <f ca="1">IF(Tableau3383[[#This Row],[payée le
reçu le]]="",$N$1-Tableau3383[[#This Row],[Échéance]],"")</f>
        <v>31.616536805559008</v>
      </c>
      <c r="P64" s="8">
        <f>IF(Tableau3383[[#This Row],[payée le
reçu le]]="",Tableau3383[[#This Row],[Montant
TTC
CHF]],"")</f>
        <v>97.05</v>
      </c>
      <c r="R64" s="48"/>
      <c r="V64" s="2" t="s">
        <v>3</v>
      </c>
      <c r="W64" s="2" t="s">
        <v>46</v>
      </c>
      <c r="X64" s="1"/>
      <c r="Y64" s="1"/>
      <c r="Z64" s="1"/>
      <c r="AJ64" s="1"/>
      <c r="AK64" s="1"/>
      <c r="AL64" s="1"/>
      <c r="AM64" s="1">
        <v>90.1</v>
      </c>
      <c r="AU64" s="1"/>
      <c r="AV64" s="1"/>
      <c r="AW64" s="1"/>
      <c r="AX64" s="1"/>
      <c r="AY64" s="1"/>
      <c r="AZ64" s="1"/>
      <c r="BA64" s="1"/>
      <c r="BB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x14ac:dyDescent="0.25">
      <c r="A65" s="46">
        <v>1205100</v>
      </c>
      <c r="B65" s="40">
        <v>43551</v>
      </c>
      <c r="C65" s="40">
        <v>43557</v>
      </c>
      <c r="D65" s="45" t="s">
        <v>7</v>
      </c>
      <c r="E65" s="44">
        <f>SUM(Tableau3383[[#This Row],[Promerka
Group
TEMP]:[Coffre Fort]])</f>
        <v>40.04</v>
      </c>
      <c r="F65" s="43">
        <v>43.05</v>
      </c>
      <c r="G65" s="149">
        <v>2000</v>
      </c>
      <c r="I65" s="42"/>
      <c r="K65" s="41">
        <v>7.7</v>
      </c>
      <c r="L65" s="40">
        <v>43581</v>
      </c>
      <c r="M65" s="20"/>
      <c r="N65" s="36"/>
      <c r="O65" s="9">
        <f ca="1">IF(Tableau3383[[#This Row],[payée le
reçu le]]="",$N$1-Tableau3383[[#This Row],[Échéance]],"")</f>
        <v>11.616536805559008</v>
      </c>
      <c r="P65" s="39">
        <f>IF(Tableau3383[[#This Row],[payée le
reçu le]]="",Tableau3383[[#This Row],[Montant
TTC
CHF]],"")</f>
        <v>43.05</v>
      </c>
      <c r="Q65" s="38"/>
      <c r="S65" s="37"/>
      <c r="T65" s="36"/>
      <c r="U65" s="35"/>
      <c r="V65" s="34" t="s">
        <v>2</v>
      </c>
      <c r="W65" s="2" t="s">
        <v>54</v>
      </c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>
        <v>40.04</v>
      </c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</row>
    <row r="66" spans="1:112" x14ac:dyDescent="0.25">
      <c r="A66" s="46">
        <v>1205099</v>
      </c>
      <c r="B66" s="40">
        <v>43551</v>
      </c>
      <c r="C66" s="40">
        <v>43557</v>
      </c>
      <c r="D66" s="45" t="s">
        <v>7</v>
      </c>
      <c r="E66" s="44">
        <f>SUM(Tableau3383[[#This Row],[Promerka
Group
TEMP]:[Coffre Fort]])</f>
        <v>19.98</v>
      </c>
      <c r="F66" s="43">
        <v>21.45</v>
      </c>
      <c r="G66" s="149">
        <v>2000</v>
      </c>
      <c r="I66" s="42"/>
      <c r="K66" s="41">
        <v>7.7</v>
      </c>
      <c r="L66" s="40">
        <v>43581</v>
      </c>
      <c r="M66" s="20"/>
      <c r="N66" s="36"/>
      <c r="O66" s="9">
        <f ca="1">IF(Tableau3383[[#This Row],[payée le
reçu le]]="",$N$1-Tableau3383[[#This Row],[Échéance]],"")</f>
        <v>11.616536805559008</v>
      </c>
      <c r="P66" s="39">
        <f>IF(Tableau3383[[#This Row],[payée le
reçu le]]="",Tableau3383[[#This Row],[Montant
TTC
CHF]],"")</f>
        <v>21.45</v>
      </c>
      <c r="Q66" s="38"/>
      <c r="S66" s="37"/>
      <c r="T66" s="36"/>
      <c r="U66" s="35"/>
      <c r="V66" s="34" t="s">
        <v>2</v>
      </c>
      <c r="W66" s="2" t="s">
        <v>53</v>
      </c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>
        <v>19.98</v>
      </c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</row>
    <row r="67" spans="1:112" hidden="1" x14ac:dyDescent="0.25">
      <c r="A67" s="46">
        <v>8309</v>
      </c>
      <c r="B67" s="40">
        <v>43551</v>
      </c>
      <c r="C67" s="40">
        <v>43553</v>
      </c>
      <c r="D67" s="45" t="s">
        <v>19</v>
      </c>
      <c r="E67" s="44">
        <f>SUM(Tableau3383[[#This Row],[Promerka
Group
TEMP]:[Coffre Fort]])</f>
        <v>568.09999999999991</v>
      </c>
      <c r="F67" s="43">
        <f>Tableau3383[[#This Row],[Montant
€]]*Tableau3383[[#This Row],[Change € &gt; CH]]</f>
        <v>568.09999999999991</v>
      </c>
      <c r="G67" s="147" t="s">
        <v>244</v>
      </c>
      <c r="I67" s="12">
        <v>1.1499999999999999</v>
      </c>
      <c r="J67" s="12">
        <v>494</v>
      </c>
      <c r="K67" s="41">
        <v>0</v>
      </c>
      <c r="L67" s="40">
        <v>43581</v>
      </c>
      <c r="M67" s="20"/>
      <c r="N67" s="36"/>
      <c r="O67" s="9">
        <f ca="1">IF(Tableau3383[[#This Row],[payée le
reçu le]]="",$N$1-Tableau3383[[#This Row],[Échéance]],"")</f>
        <v>11.616536805559008</v>
      </c>
      <c r="P67" s="39">
        <f>IF(Tableau3383[[#This Row],[payée le
reçu le]]="",Tableau3383[[#This Row],[Montant
TTC
CHF]],"")</f>
        <v>568.09999999999991</v>
      </c>
      <c r="Q67" s="38"/>
      <c r="S67" s="37"/>
      <c r="T67" s="36"/>
      <c r="U67" s="35"/>
      <c r="V67" s="34" t="s">
        <v>9</v>
      </c>
      <c r="W67" s="2" t="s">
        <v>45</v>
      </c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>
        <f>494*Tableau3383[[#This Row],[Change € &gt; CH]]</f>
        <v>568.09999999999991</v>
      </c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</row>
    <row r="68" spans="1:112" x14ac:dyDescent="0.25">
      <c r="A68" s="46">
        <v>20190327</v>
      </c>
      <c r="B68" s="40">
        <v>43551</v>
      </c>
      <c r="C68" s="40">
        <v>43563</v>
      </c>
      <c r="D68" s="45" t="s">
        <v>40</v>
      </c>
      <c r="E68" s="44">
        <f>SUM(Tableau3383[[#This Row],[Promerka
Group
TEMP]:[Coffre Fort]])</f>
        <v>643.90243902439033</v>
      </c>
      <c r="F68" s="43">
        <v>660</v>
      </c>
      <c r="G68" s="149">
        <v>2000</v>
      </c>
      <c r="I68" s="42"/>
      <c r="K68" s="41">
        <v>2.5</v>
      </c>
      <c r="L68" s="40">
        <v>43582</v>
      </c>
      <c r="M68" s="20"/>
      <c r="N68" s="36"/>
      <c r="O68" s="9">
        <f ca="1">IF(Tableau3383[[#This Row],[payée le
reçu le]]="",$N$1-Tableau3383[[#This Row],[Échéance]],"")</f>
        <v>10.616536805559008</v>
      </c>
      <c r="P68" s="39">
        <f>IF(Tableau3383[[#This Row],[payée le
reçu le]]="",Tableau3383[[#This Row],[Montant
TTC
CHF]],"")</f>
        <v>660</v>
      </c>
      <c r="Q68" s="38"/>
      <c r="S68" s="37"/>
      <c r="T68" s="36"/>
      <c r="U68" s="35"/>
      <c r="V68" s="34" t="s">
        <v>2</v>
      </c>
      <c r="W68" s="2" t="s">
        <v>39</v>
      </c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>
        <f>660/1.025</f>
        <v>643.90243902439033</v>
      </c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</row>
    <row r="69" spans="1:112" hidden="1" x14ac:dyDescent="0.25">
      <c r="A69" s="46">
        <v>64</v>
      </c>
      <c r="B69" s="40">
        <v>43552</v>
      </c>
      <c r="C69" s="40">
        <v>43552</v>
      </c>
      <c r="D69" s="45" t="s">
        <v>22</v>
      </c>
      <c r="E69" s="44">
        <f>SUM(Tableau3383[[#This Row],[Promerka
Group
TEMP]:[Coffre Fort]])</f>
        <v>60.84</v>
      </c>
      <c r="F69" s="43">
        <v>62.35</v>
      </c>
      <c r="G69" s="147" t="s">
        <v>244</v>
      </c>
      <c r="I69" s="42"/>
      <c r="K69" s="41">
        <v>2.5</v>
      </c>
      <c r="L69" s="40">
        <v>43552</v>
      </c>
      <c r="M69" s="20"/>
      <c r="N69" s="36"/>
      <c r="O69" s="9" t="str">
        <f>IF(Tableau3383[[#This Row],[payée le
reçu le]]="",$N$1-Tableau3383[[#This Row],[Échéance]],"")</f>
        <v/>
      </c>
      <c r="P69" s="39" t="str">
        <f>IF(Tableau3383[[#This Row],[payée le
reçu le]]="",Tableau3383[[#This Row],[Montant
TTC
CHF]],"")</f>
        <v/>
      </c>
      <c r="Q69" s="38"/>
      <c r="S69" s="37">
        <v>43567</v>
      </c>
      <c r="T69" s="36" t="s">
        <v>89</v>
      </c>
      <c r="U69" s="35"/>
      <c r="V69" s="34" t="s">
        <v>2</v>
      </c>
      <c r="W69" s="2" t="s">
        <v>76</v>
      </c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>
        <v>45</v>
      </c>
      <c r="CD69" s="20"/>
      <c r="CE69" s="20">
        <v>15.84</v>
      </c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</row>
    <row r="70" spans="1:112" hidden="1" x14ac:dyDescent="0.25">
      <c r="A70" s="46">
        <v>63</v>
      </c>
      <c r="B70" s="40">
        <v>43552</v>
      </c>
      <c r="C70" s="40">
        <v>43552</v>
      </c>
      <c r="D70" s="45" t="s">
        <v>22</v>
      </c>
      <c r="E70" s="44">
        <f>SUM(Tableau3383[[#This Row],[Promerka
Group
TEMP]:[Coffre Fort]])</f>
        <v>13.5</v>
      </c>
      <c r="F70" s="43">
        <v>13.85</v>
      </c>
      <c r="G70" s="147" t="s">
        <v>244</v>
      </c>
      <c r="I70" s="42"/>
      <c r="K70" s="41">
        <v>2.5</v>
      </c>
      <c r="L70" s="40">
        <v>43552</v>
      </c>
      <c r="M70" s="20"/>
      <c r="N70" s="36"/>
      <c r="O70" s="9" t="str">
        <f>IF(Tableau3383[[#This Row],[payée le
reçu le]]="",$N$1-Tableau3383[[#This Row],[Échéance]],"")</f>
        <v/>
      </c>
      <c r="P70" s="39" t="str">
        <f>IF(Tableau3383[[#This Row],[payée le
reçu le]]="",Tableau3383[[#This Row],[Montant
TTC
CHF]],"")</f>
        <v/>
      </c>
      <c r="Q70" s="38"/>
      <c r="S70" s="37">
        <v>43567</v>
      </c>
      <c r="T70" s="36" t="s">
        <v>89</v>
      </c>
      <c r="U70" s="35"/>
      <c r="V70" s="34" t="s">
        <v>14</v>
      </c>
      <c r="W70" s="2" t="s">
        <v>44</v>
      </c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>
        <v>13.5</v>
      </c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</row>
    <row r="71" spans="1:112" x14ac:dyDescent="0.25">
      <c r="A71" s="46">
        <v>429537301</v>
      </c>
      <c r="B71" s="40">
        <v>43552</v>
      </c>
      <c r="C71" s="40">
        <v>43556</v>
      </c>
      <c r="D71" s="45" t="s">
        <v>10</v>
      </c>
      <c r="E71" s="44">
        <f>SUM(Tableau3383[[#This Row],[Promerka
Group
TEMP]:[Coffre Fort]])</f>
        <v>442.7</v>
      </c>
      <c r="F71" s="43">
        <v>476.8</v>
      </c>
      <c r="G71" s="147">
        <v>2003</v>
      </c>
      <c r="I71" s="42"/>
      <c r="K71" s="41">
        <v>7.7</v>
      </c>
      <c r="L71" s="40">
        <v>43583</v>
      </c>
      <c r="M71" s="20"/>
      <c r="N71" s="36"/>
      <c r="O71" s="9">
        <f ca="1">IF(Tableau3383[[#This Row],[payée le
reçu le]]="",$N$1-Tableau3383[[#This Row],[Échéance]],"")</f>
        <v>9.6165368055590079</v>
      </c>
      <c r="P71" s="39">
        <f>IF(Tableau3383[[#This Row],[payée le
reçu le]]="",Tableau3383[[#This Row],[Montant
TTC
CHF]],"")</f>
        <v>476.8</v>
      </c>
      <c r="Q71" s="38"/>
      <c r="S71" s="37"/>
      <c r="T71" s="36"/>
      <c r="U71" s="35"/>
      <c r="V71" s="34" t="s">
        <v>9</v>
      </c>
      <c r="W71" s="2" t="s">
        <v>43</v>
      </c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>
        <v>442.7</v>
      </c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</row>
    <row r="72" spans="1:112" x14ac:dyDescent="0.25">
      <c r="A72" s="46">
        <v>4025172</v>
      </c>
      <c r="B72" s="40">
        <v>43553</v>
      </c>
      <c r="C72" s="40">
        <v>43553</v>
      </c>
      <c r="D72" s="45" t="s">
        <v>5</v>
      </c>
      <c r="E72" s="44">
        <f>SUM(Tableau3383[[#This Row],[Promerka
Group
TEMP]:[Coffre Fort]])</f>
        <v>2065</v>
      </c>
      <c r="F72" s="43">
        <v>2224</v>
      </c>
      <c r="G72" s="149">
        <v>2000</v>
      </c>
      <c r="I72" s="42"/>
      <c r="K72" s="41">
        <v>0</v>
      </c>
      <c r="L72" s="40">
        <v>43613</v>
      </c>
      <c r="M72" s="20"/>
      <c r="N72" s="36"/>
      <c r="O72" s="9">
        <f ca="1">IF(Tableau3383[[#This Row],[payée le
reçu le]]="",$N$1-Tableau3383[[#This Row],[Échéance]],"")</f>
        <v>-20.383463194440992</v>
      </c>
      <c r="P72" s="39">
        <f>IF(Tableau3383[[#This Row],[payée le
reçu le]]="",Tableau3383[[#This Row],[Montant
TTC
CHF]],"")</f>
        <v>2224</v>
      </c>
      <c r="Q72" s="38"/>
      <c r="S72" s="37"/>
      <c r="T72" s="36"/>
      <c r="U72" s="35"/>
      <c r="V72" s="34" t="s">
        <v>2</v>
      </c>
      <c r="W72" s="2" t="s">
        <v>75</v>
      </c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>
        <v>49.8</v>
      </c>
      <c r="CW72" s="20"/>
      <c r="CX72" s="20"/>
      <c r="CY72" s="20">
        <v>2015.2</v>
      </c>
      <c r="CZ72" s="20"/>
      <c r="DA72" s="20"/>
      <c r="DB72" s="20"/>
      <c r="DC72" s="20"/>
      <c r="DD72" s="20"/>
      <c r="DE72" s="20"/>
      <c r="DF72" s="20"/>
      <c r="DG72" s="20"/>
      <c r="DH72" s="20"/>
    </row>
    <row r="73" spans="1:112" hidden="1" x14ac:dyDescent="0.25">
      <c r="A73" s="46">
        <v>13890170</v>
      </c>
      <c r="B73" s="40">
        <v>43553</v>
      </c>
      <c r="C73" s="40">
        <v>43560</v>
      </c>
      <c r="D73" s="45" t="s">
        <v>24</v>
      </c>
      <c r="E73" s="44">
        <f>SUM(Tableau3383[[#This Row],[Promerka
Group
TEMP]:[Coffre Fort]])</f>
        <v>40</v>
      </c>
      <c r="F73" s="43">
        <v>40</v>
      </c>
      <c r="G73" s="147" t="s">
        <v>244</v>
      </c>
      <c r="I73" s="42"/>
      <c r="K73" s="41">
        <v>0</v>
      </c>
      <c r="L73" s="40">
        <v>43604</v>
      </c>
      <c r="M73" s="20"/>
      <c r="N73" s="36"/>
      <c r="O73" s="9">
        <f ca="1">IF(Tableau3383[[#This Row],[payée le
reçu le]]="",$N$1-Tableau3383[[#This Row],[Échéance]],"")</f>
        <v>-11.383463194440992</v>
      </c>
      <c r="P73" s="39">
        <f>IF(Tableau3383[[#This Row],[payée le
reçu le]]="",Tableau3383[[#This Row],[Montant
TTC
CHF]],"")</f>
        <v>40</v>
      </c>
      <c r="Q73" s="38"/>
      <c r="S73" s="37"/>
      <c r="T73" s="36"/>
      <c r="U73" s="35"/>
      <c r="V73" s="34" t="s">
        <v>23</v>
      </c>
      <c r="W73" s="2" t="s">
        <v>25</v>
      </c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>
        <v>40</v>
      </c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</row>
    <row r="74" spans="1:112" hidden="1" x14ac:dyDescent="0.25">
      <c r="A74" s="46">
        <v>20190331</v>
      </c>
      <c r="B74" s="40">
        <v>43555</v>
      </c>
      <c r="C74" s="40">
        <v>43580</v>
      </c>
      <c r="D74" s="45" t="s">
        <v>17</v>
      </c>
      <c r="E74" s="44">
        <f>SUM(Tableau3383[[#This Row],[Promerka
Group
TEMP]:[Coffre Fort]])</f>
        <v>500</v>
      </c>
      <c r="F74" s="43">
        <v>500</v>
      </c>
      <c r="G74" s="147" t="s">
        <v>244</v>
      </c>
      <c r="I74" s="42"/>
      <c r="K74" s="41">
        <v>0</v>
      </c>
      <c r="L74" s="40">
        <v>43585</v>
      </c>
      <c r="M74" s="20"/>
      <c r="N74" s="36"/>
      <c r="O74" s="9">
        <f ca="1">IF(Tableau3383[[#This Row],[payée le
reçu le]]="",$N$1-Tableau3383[[#This Row],[Échéance]],"")</f>
        <v>7.6165368055590079</v>
      </c>
      <c r="P74" s="39">
        <f>IF(Tableau3383[[#This Row],[payée le
reçu le]]="",Tableau3383[[#This Row],[Montant
TTC
CHF]],"")</f>
        <v>500</v>
      </c>
      <c r="Q74" s="38"/>
      <c r="S74" s="37"/>
      <c r="T74" s="36"/>
      <c r="U74" s="35"/>
      <c r="V74" s="34" t="s">
        <v>14</v>
      </c>
      <c r="W74" s="2" t="s">
        <v>41</v>
      </c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>
        <v>500</v>
      </c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</row>
    <row r="75" spans="1:112" x14ac:dyDescent="0.25">
      <c r="A75" s="46">
        <v>100470828</v>
      </c>
      <c r="B75" s="40">
        <v>43555</v>
      </c>
      <c r="C75" s="40">
        <v>43563</v>
      </c>
      <c r="D75" s="45" t="s">
        <v>38</v>
      </c>
      <c r="E75" s="44">
        <f>SUM(Tableau3383[[#This Row],[Promerka
Group
TEMP]:[Coffre Fort]])</f>
        <v>487.73999999999995</v>
      </c>
      <c r="F75" s="43">
        <v>525.29999999999995</v>
      </c>
      <c r="G75" s="149">
        <v>2000</v>
      </c>
      <c r="I75" s="42"/>
      <c r="K75" s="41">
        <v>7.7</v>
      </c>
      <c r="L75" s="40">
        <v>43585</v>
      </c>
      <c r="M75" s="20"/>
      <c r="N75" s="36"/>
      <c r="O75" s="9">
        <f ca="1">IF(Tableau3383[[#This Row],[payée le
reçu le]]="",$N$1-Tableau3383[[#This Row],[Échéance]],"")</f>
        <v>7.6165368055590079</v>
      </c>
      <c r="P75" s="39">
        <f>IF(Tableau3383[[#This Row],[payée le
reçu le]]="",Tableau3383[[#This Row],[Montant
TTC
CHF]],"")</f>
        <v>525.29999999999995</v>
      </c>
      <c r="Q75" s="38"/>
      <c r="S75" s="37"/>
      <c r="T75" s="36"/>
      <c r="U75" s="35"/>
      <c r="V75" s="34" t="s">
        <v>2</v>
      </c>
      <c r="W75" s="2" t="s">
        <v>37</v>
      </c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>
        <f>525.3-37.56</f>
        <v>487.73999999999995</v>
      </c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</row>
    <row r="76" spans="1:112" x14ac:dyDescent="0.25">
      <c r="A76" s="46">
        <v>2020048214</v>
      </c>
      <c r="B76" s="40">
        <v>43555</v>
      </c>
      <c r="C76" s="40">
        <v>43564</v>
      </c>
      <c r="D76" s="45" t="s">
        <v>36</v>
      </c>
      <c r="E76" s="44">
        <f>SUM(Tableau3383[[#This Row],[Promerka
Group
TEMP]:[Coffre Fort]])</f>
        <v>71.912720519962861</v>
      </c>
      <c r="F76" s="43">
        <v>77.45</v>
      </c>
      <c r="G76" s="147">
        <v>2003</v>
      </c>
      <c r="I76" s="42"/>
      <c r="K76" s="41">
        <v>7.7</v>
      </c>
      <c r="L76" s="40">
        <v>43585</v>
      </c>
      <c r="M76" s="20"/>
      <c r="N76" s="36" t="s">
        <v>35</v>
      </c>
      <c r="O76" s="9">
        <f ca="1">IF(Tableau3383[[#This Row],[payée le
reçu le]]="",$N$1-Tableau3383[[#This Row],[Échéance]],"")</f>
        <v>7.6165368055590079</v>
      </c>
      <c r="P76" s="39">
        <f>IF(Tableau3383[[#This Row],[payée le
reçu le]]="",Tableau3383[[#This Row],[Montant
TTC
CHF]],"")</f>
        <v>77.45</v>
      </c>
      <c r="Q76" s="38"/>
      <c r="S76" s="37"/>
      <c r="T76" s="36"/>
      <c r="U76" s="35"/>
      <c r="V76" s="34" t="s">
        <v>14</v>
      </c>
      <c r="W76" s="2" t="s">
        <v>31</v>
      </c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>
        <f>77.45/1.077</f>
        <v>71.912720519962861</v>
      </c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</row>
    <row r="77" spans="1:112" x14ac:dyDescent="0.25">
      <c r="A77" s="46">
        <v>133581</v>
      </c>
      <c r="B77" s="40">
        <v>43555</v>
      </c>
      <c r="C77" s="40">
        <v>43564</v>
      </c>
      <c r="D77" s="45" t="s">
        <v>34</v>
      </c>
      <c r="E77" s="44">
        <f>SUM(Tableau3383[[#This Row],[Promerka
Group
TEMP]:[Coffre Fort]])</f>
        <v>71.599999999999994</v>
      </c>
      <c r="F77" s="43">
        <v>77.099999999999994</v>
      </c>
      <c r="G77" s="147">
        <v>2003</v>
      </c>
      <c r="I77" s="42"/>
      <c r="K77" s="41">
        <v>7.7</v>
      </c>
      <c r="L77" s="40">
        <v>43585</v>
      </c>
      <c r="M77" s="20"/>
      <c r="N77" s="36"/>
      <c r="O77" s="9">
        <f ca="1">IF(Tableau3383[[#This Row],[payée le
reçu le]]="",$N$1-Tableau3383[[#This Row],[Échéance]],"")</f>
        <v>7.6165368055590079</v>
      </c>
      <c r="P77" s="39">
        <f>IF(Tableau3383[[#This Row],[payée le
reçu le]]="",Tableau3383[[#This Row],[Montant
TTC
CHF]],"")</f>
        <v>77.099999999999994</v>
      </c>
      <c r="Q77" s="38"/>
      <c r="S77" s="37"/>
      <c r="T77" s="36"/>
      <c r="U77" s="35"/>
      <c r="V77" s="34" t="s">
        <v>6</v>
      </c>
      <c r="W77" s="2" t="s">
        <v>31</v>
      </c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>
        <v>71.599999999999994</v>
      </c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</row>
    <row r="80" spans="1:112" x14ac:dyDescent="0.25">
      <c r="E80" s="16" t="s">
        <v>247</v>
      </c>
      <c r="F80" s="143">
        <f>18026.36+1197.6</f>
        <v>19223.96</v>
      </c>
      <c r="G80" s="148">
        <v>2000</v>
      </c>
    </row>
    <row r="81" spans="5:7" x14ac:dyDescent="0.25">
      <c r="E81" s="16" t="s">
        <v>247</v>
      </c>
      <c r="F81" s="143">
        <v>9357.4500000000007</v>
      </c>
      <c r="G81" s="148">
        <v>2003</v>
      </c>
    </row>
    <row r="82" spans="5:7" x14ac:dyDescent="0.25">
      <c r="E82" s="120" t="s">
        <v>247</v>
      </c>
      <c r="F82" s="15">
        <f>SUM(F80:F81)</f>
        <v>28581.41</v>
      </c>
    </row>
    <row r="84" spans="5:7" x14ac:dyDescent="0.25">
      <c r="E84" s="120" t="s">
        <v>246</v>
      </c>
      <c r="F84" s="15">
        <v>3080</v>
      </c>
      <c r="G84" s="148">
        <v>2002</v>
      </c>
    </row>
  </sheetData>
  <sheetProtection formatCells="0" formatColumns="0" formatRows="0" insertColumns="0" insertRows="0" insertHyperlinks="0" deleteColumns="0" deleteRows="0" sort="0" autoFilter="0" pivotTables="0"/>
  <conditionalFormatting sqref="U1 U6:U7">
    <cfRule type="cellIs" dxfId="49" priority="506" stopIfTrue="1" operator="equal">
      <formula>"A"</formula>
    </cfRule>
  </conditionalFormatting>
  <conditionalFormatting sqref="U1 U6:U7">
    <cfRule type="cellIs" dxfId="48" priority="505" stopIfTrue="1" operator="equal">
      <formula>"R"</formula>
    </cfRule>
  </conditionalFormatting>
  <conditionalFormatting sqref="U1 U6:U7">
    <cfRule type="cellIs" dxfId="47" priority="503" stopIfTrue="1" operator="equal">
      <formula>"S"</formula>
    </cfRule>
    <cfRule type="cellIs" dxfId="46" priority="504" stopIfTrue="1" operator="equal">
      <formula>"C"</formula>
    </cfRule>
  </conditionalFormatting>
  <conditionalFormatting sqref="U4">
    <cfRule type="cellIs" dxfId="45" priority="502" stopIfTrue="1" operator="equal">
      <formula>"A"</formula>
    </cfRule>
  </conditionalFormatting>
  <conditionalFormatting sqref="U4">
    <cfRule type="cellIs" dxfId="44" priority="501" stopIfTrue="1" operator="equal">
      <formula>"R"</formula>
    </cfRule>
  </conditionalFormatting>
  <conditionalFormatting sqref="U4">
    <cfRule type="cellIs" dxfId="43" priority="499" stopIfTrue="1" operator="equal">
      <formula>"S"</formula>
    </cfRule>
    <cfRule type="cellIs" dxfId="42" priority="500" stopIfTrue="1" operator="equal">
      <formula>"C"</formula>
    </cfRule>
  </conditionalFormatting>
  <conditionalFormatting sqref="U2">
    <cfRule type="cellIs" dxfId="41" priority="496" stopIfTrue="1" operator="equal">
      <formula>"A"</formula>
    </cfRule>
  </conditionalFormatting>
  <conditionalFormatting sqref="U2">
    <cfRule type="cellIs" dxfId="40" priority="495" stopIfTrue="1" operator="equal">
      <formula>"R"</formula>
    </cfRule>
  </conditionalFormatting>
  <conditionalFormatting sqref="U2">
    <cfRule type="cellIs" dxfId="39" priority="493" stopIfTrue="1" operator="equal">
      <formula>"S"</formula>
    </cfRule>
    <cfRule type="cellIs" dxfId="38" priority="494" stopIfTrue="1" operator="equal">
      <formula>"C"</formula>
    </cfRule>
  </conditionalFormatting>
  <conditionalFormatting sqref="U2">
    <cfRule type="cellIs" dxfId="37" priority="492" stopIfTrue="1" operator="equal">
      <formula>"C"</formula>
    </cfRule>
  </conditionalFormatting>
  <conditionalFormatting sqref="U2">
    <cfRule type="cellIs" dxfId="36" priority="491" stopIfTrue="1" operator="equal">
      <formula>"M"</formula>
    </cfRule>
  </conditionalFormatting>
  <conditionalFormatting sqref="U2">
    <cfRule type="cellIs" dxfId="35" priority="490" stopIfTrue="1" operator="equal">
      <formula>"A"</formula>
    </cfRule>
  </conditionalFormatting>
  <conditionalFormatting sqref="O1:O9 O22:O34 O11:O19 O40:O1048576">
    <cfRule type="cellIs" dxfId="34" priority="489" stopIfTrue="1" operator="greaterThan">
      <formula>0</formula>
    </cfRule>
  </conditionalFormatting>
  <conditionalFormatting sqref="O1:O9 O22:O34 O11:O19 O40:O1048576">
    <cfRule type="cellIs" dxfId="33" priority="488" operator="greaterThan">
      <formula>1</formula>
    </cfRule>
  </conditionalFormatting>
  <conditionalFormatting sqref="O20">
    <cfRule type="cellIs" dxfId="32" priority="66" stopIfTrue="1" operator="greaterThan">
      <formula>0</formula>
    </cfRule>
  </conditionalFormatting>
  <conditionalFormatting sqref="O20">
    <cfRule type="cellIs" dxfId="31" priority="65" operator="greaterThan">
      <formula>1</formula>
    </cfRule>
  </conditionalFormatting>
  <conditionalFormatting sqref="O21">
    <cfRule type="cellIs" dxfId="30" priority="64" stopIfTrue="1" operator="greaterThan">
      <formula>0</formula>
    </cfRule>
  </conditionalFormatting>
  <conditionalFormatting sqref="O21">
    <cfRule type="cellIs" dxfId="29" priority="63" operator="greaterThan">
      <formula>1</formula>
    </cfRule>
  </conditionalFormatting>
  <conditionalFormatting sqref="O35:O39">
    <cfRule type="cellIs" dxfId="28" priority="60" stopIfTrue="1" operator="greaterThan">
      <formula>0</formula>
    </cfRule>
  </conditionalFormatting>
  <conditionalFormatting sqref="O35:O39">
    <cfRule type="cellIs" dxfId="27" priority="59" operator="greaterThan">
      <formula>1</formula>
    </cfRule>
  </conditionalFormatting>
  <conditionalFormatting sqref="U38">
    <cfRule type="cellIs" dxfId="26" priority="58" stopIfTrue="1" operator="equal">
      <formula>"A"</formula>
    </cfRule>
  </conditionalFormatting>
  <conditionalFormatting sqref="U38">
    <cfRule type="cellIs" dxfId="25" priority="57" stopIfTrue="1" operator="equal">
      <formula>"R"</formula>
    </cfRule>
  </conditionalFormatting>
  <conditionalFormatting sqref="U38">
    <cfRule type="cellIs" dxfId="24" priority="55" stopIfTrue="1" operator="equal">
      <formula>"S"</formula>
    </cfRule>
    <cfRule type="cellIs" dxfId="23" priority="56" stopIfTrue="1" operator="equal">
      <formula>"C"</formula>
    </cfRule>
  </conditionalFormatting>
  <conditionalFormatting sqref="U38">
    <cfRule type="cellIs" dxfId="22" priority="54" stopIfTrue="1" operator="equal">
      <formula>"C"</formula>
    </cfRule>
  </conditionalFormatting>
  <conditionalFormatting sqref="U38">
    <cfRule type="cellIs" dxfId="21" priority="53" stopIfTrue="1" operator="equal">
      <formula>"M"</formula>
    </cfRule>
  </conditionalFormatting>
  <conditionalFormatting sqref="U38">
    <cfRule type="cellIs" dxfId="20" priority="52" stopIfTrue="1" operator="equal">
      <formula>"A"</formula>
    </cfRule>
  </conditionalFormatting>
  <conditionalFormatting sqref="U39">
    <cfRule type="cellIs" dxfId="19" priority="51" stopIfTrue="1" operator="equal">
      <formula>"A"</formula>
    </cfRule>
  </conditionalFormatting>
  <conditionalFormatting sqref="U39">
    <cfRule type="cellIs" dxfId="18" priority="50" stopIfTrue="1" operator="equal">
      <formula>"R"</formula>
    </cfRule>
  </conditionalFormatting>
  <conditionalFormatting sqref="U39">
    <cfRule type="cellIs" dxfId="17" priority="48" stopIfTrue="1" operator="equal">
      <formula>"S"</formula>
    </cfRule>
    <cfRule type="cellIs" dxfId="16" priority="49" stopIfTrue="1" operator="equal">
      <formula>"C"</formula>
    </cfRule>
  </conditionalFormatting>
  <conditionalFormatting sqref="U39">
    <cfRule type="cellIs" dxfId="15" priority="47" stopIfTrue="1" operator="equal">
      <formula>"C"</formula>
    </cfRule>
  </conditionalFormatting>
  <conditionalFormatting sqref="U39">
    <cfRule type="cellIs" dxfId="14" priority="46" stopIfTrue="1" operator="equal">
      <formula>"M"</formula>
    </cfRule>
  </conditionalFormatting>
  <conditionalFormatting sqref="U39">
    <cfRule type="cellIs" dxfId="13" priority="45" stopIfTrue="1" operator="equal">
      <formula>"A"</formula>
    </cfRule>
  </conditionalFormatting>
  <conditionalFormatting sqref="U35">
    <cfRule type="cellIs" dxfId="12" priority="44" stopIfTrue="1" operator="equal">
      <formula>"A"</formula>
    </cfRule>
  </conditionalFormatting>
  <conditionalFormatting sqref="U35">
    <cfRule type="cellIs" dxfId="11" priority="43" stopIfTrue="1" operator="equal">
      <formula>"R"</formula>
    </cfRule>
  </conditionalFormatting>
  <conditionalFormatting sqref="U35">
    <cfRule type="cellIs" dxfId="10" priority="41" stopIfTrue="1" operator="equal">
      <formula>"S"</formula>
    </cfRule>
    <cfRule type="cellIs" dxfId="9" priority="42" stopIfTrue="1" operator="equal">
      <formula>"C"</formula>
    </cfRule>
  </conditionalFormatting>
  <conditionalFormatting sqref="U35">
    <cfRule type="cellIs" dxfId="8" priority="40" stopIfTrue="1" operator="equal">
      <formula>"C"</formula>
    </cfRule>
  </conditionalFormatting>
  <conditionalFormatting sqref="U35">
    <cfRule type="cellIs" dxfId="7" priority="39" stopIfTrue="1" operator="equal">
      <formula>"M"</formula>
    </cfRule>
  </conditionalFormatting>
  <conditionalFormatting sqref="U36:U37">
    <cfRule type="cellIs" dxfId="6" priority="38" stopIfTrue="1" operator="equal">
      <formula>"A"</formula>
    </cfRule>
  </conditionalFormatting>
  <conditionalFormatting sqref="U36:U37">
    <cfRule type="cellIs" dxfId="5" priority="37" stopIfTrue="1" operator="equal">
      <formula>"R"</formula>
    </cfRule>
  </conditionalFormatting>
  <conditionalFormatting sqref="U36:U37">
    <cfRule type="cellIs" dxfId="4" priority="35" stopIfTrue="1" operator="equal">
      <formula>"S"</formula>
    </cfRule>
    <cfRule type="cellIs" dxfId="3" priority="36" stopIfTrue="1" operator="equal">
      <formula>"C"</formula>
    </cfRule>
  </conditionalFormatting>
  <conditionalFormatting sqref="U36:U37">
    <cfRule type="cellIs" dxfId="2" priority="34" stopIfTrue="1" operator="equal">
      <formula>"C"</formula>
    </cfRule>
  </conditionalFormatting>
  <conditionalFormatting sqref="U36:U37">
    <cfRule type="cellIs" dxfId="1" priority="33" stopIfTrue="1" operator="equal">
      <formula>"M"</formula>
    </cfRule>
  </conditionalFormatting>
  <conditionalFormatting sqref="U36:U37">
    <cfRule type="cellIs" dxfId="0" priority="32" stopIfTrue="1" operator="equal">
      <formula>"A"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Height="5" orientation="landscape" r:id="rId1"/>
  <headerFooter>
    <oddFooter>&amp;L&amp;D&amp;Rpage &amp;P de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Creancier Section de frais  (2)</vt:lpstr>
      <vt:lpstr>'Creancier Section de frais  (2)'!Impression_des_titres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2019-05-07T12:48:04Z</cp:lastPrinted>
  <dcterms:created xsi:type="dcterms:W3CDTF">2019-05-07T11:09:47Z</dcterms:created>
  <dcterms:modified xsi:type="dcterms:W3CDTF">2019-05-07T12:48:28Z</dcterms:modified>
</cp:coreProperties>
</file>