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xSANDRA\Finances et compta\"/>
    </mc:Choice>
  </mc:AlternateContent>
  <bookViews>
    <workbookView xWindow="0" yWindow="0" windowWidth="20460" windowHeight="7500"/>
  </bookViews>
  <sheets>
    <sheet name="2018-03-31" sheetId="1" r:id="rId1"/>
  </sheets>
  <definedNames>
    <definedName name="_xlnm.Print_Titles" localSheetId="0">'2018-03-31'!$1:$4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9" i="1"/>
  <c r="F20" i="1"/>
  <c r="F130" i="1"/>
  <c r="F127" i="1"/>
  <c r="F128" i="1"/>
  <c r="F110" i="1"/>
  <c r="F111" i="1"/>
  <c r="F113" i="1" s="1"/>
  <c r="F108" i="1"/>
  <c r="F107" i="1"/>
  <c r="F106" i="1"/>
  <c r="F105" i="1"/>
  <c r="F34" i="1"/>
  <c r="F26" i="1"/>
  <c r="F25" i="1"/>
  <c r="F66" i="1"/>
  <c r="F65" i="1"/>
  <c r="F35" i="1"/>
  <c r="F91" i="1"/>
  <c r="F120" i="1"/>
  <c r="F122" i="1"/>
  <c r="F119" i="1"/>
  <c r="F118" i="1"/>
  <c r="F87" i="1"/>
  <c r="E83" i="1"/>
  <c r="F80" i="1"/>
  <c r="F83" i="1" s="1"/>
  <c r="F76" i="1"/>
  <c r="F75" i="1"/>
  <c r="F71" i="1"/>
  <c r="F69" i="1"/>
  <c r="F73" i="1" s="1"/>
  <c r="G66" i="1" l="1"/>
  <c r="G65" i="1"/>
  <c r="F64" i="1"/>
  <c r="F67" i="1" s="1"/>
  <c r="F93" i="1" s="1"/>
  <c r="F62" i="1"/>
  <c r="F58" i="1"/>
  <c r="F55" i="1" l="1"/>
  <c r="G35" i="1"/>
  <c r="F30" i="1"/>
  <c r="F31" i="1" s="1"/>
  <c r="G26" i="1"/>
  <c r="G25" i="1"/>
  <c r="F28" i="1"/>
  <c r="F18" i="1"/>
  <c r="F15" i="1"/>
  <c r="F8" i="1"/>
  <c r="F9" i="1" l="1"/>
  <c r="F41" i="1" s="1"/>
  <c r="F95" i="1" s="1"/>
  <c r="F132" i="1" s="1"/>
  <c r="E128" i="1"/>
  <c r="E130" i="1" s="1"/>
  <c r="E120" i="1"/>
  <c r="E122" i="1" s="1"/>
  <c r="E111" i="1"/>
  <c r="E113" i="1" s="1"/>
  <c r="E87" i="1"/>
  <c r="E76" i="1"/>
  <c r="E73" i="1"/>
  <c r="E67" i="1"/>
  <c r="E62" i="1"/>
  <c r="E58" i="1"/>
  <c r="E53" i="1"/>
  <c r="E55" i="1" s="1"/>
  <c r="E93" i="1" s="1"/>
  <c r="E37" i="1"/>
  <c r="E31" i="1"/>
  <c r="E28" i="1"/>
  <c r="E18" i="1"/>
  <c r="E15" i="1"/>
  <c r="E9" i="1"/>
  <c r="E39" i="1" l="1"/>
  <c r="E20" i="1"/>
  <c r="E41" i="1" s="1"/>
  <c r="E95" i="1" s="1"/>
  <c r="E132" i="1" s="1"/>
</calcChain>
</file>

<file path=xl/sharedStrings.xml><?xml version="1.0" encoding="utf-8"?>
<sst xmlns="http://schemas.openxmlformats.org/spreadsheetml/2006/main" count="89" uniqueCount="80">
  <si>
    <t>Promerka SA</t>
  </si>
  <si>
    <t>Budget</t>
  </si>
  <si>
    <t>année 2018</t>
  </si>
  <si>
    <t>PRODUITS DE L'EXPLOITATION</t>
  </si>
  <si>
    <t>Produit de la vente de march. achetées</t>
  </si>
  <si>
    <t>Vente</t>
  </si>
  <si>
    <t>Réductions et pertes sur les ventes</t>
  </si>
  <si>
    <t>Livraison et expedition</t>
  </si>
  <si>
    <t>Escomptes aux clients</t>
  </si>
  <si>
    <t>Frais de cartes de crédits (SumUp/Aduno) &amp; CCP</t>
  </si>
  <si>
    <t>Ristourne clients</t>
  </si>
  <si>
    <t>Revenu de capitaux</t>
  </si>
  <si>
    <t>Intérêts bancaires créditeurs</t>
  </si>
  <si>
    <t>TOTAL</t>
  </si>
  <si>
    <t>CHARGES DE MATIERES ET MARCHANDISES</t>
  </si>
  <si>
    <t>PRAMV</t>
  </si>
  <si>
    <t>Charges marchandises</t>
  </si>
  <si>
    <t>Charges marchandises non soumises</t>
  </si>
  <si>
    <t>Accessoires utilisés</t>
  </si>
  <si>
    <t>Autres matériaux directement incorporables</t>
  </si>
  <si>
    <t>Frais d'achat</t>
  </si>
  <si>
    <t>Frais de transport national</t>
  </si>
  <si>
    <t>Frais de transport international</t>
  </si>
  <si>
    <t>Dedouanement</t>
  </si>
  <si>
    <t>Droits de douane</t>
  </si>
  <si>
    <t>Bénéfice brut</t>
  </si>
  <si>
    <t>CHARGES D'EXPLOITATION</t>
  </si>
  <si>
    <t>Frais de personnel</t>
  </si>
  <si>
    <t>Salaires</t>
  </si>
  <si>
    <t>Prime d'assurances-accidents (Zurich)</t>
  </si>
  <si>
    <t>Prime d'assurances-maladie IJ (Groupe Mutuel)</t>
  </si>
  <si>
    <t>Primes LPP (Caisse pension)</t>
  </si>
  <si>
    <t>Contributions AVS/AI/APG/AC (Caisse AVS)</t>
  </si>
  <si>
    <t>Loyers</t>
  </si>
  <si>
    <t>Entretien et matériaux d'expoitation</t>
  </si>
  <si>
    <t>Leasing matériel exploitation</t>
  </si>
  <si>
    <t>Entretien des installations</t>
  </si>
  <si>
    <t>Frais de véhicules</t>
  </si>
  <si>
    <t>Leasings et crédits véhicules</t>
  </si>
  <si>
    <t>Carburants</t>
  </si>
  <si>
    <t>Primes d'assurances et taxes</t>
  </si>
  <si>
    <t>Assurance des installations</t>
  </si>
  <si>
    <t>Assurance RC</t>
  </si>
  <si>
    <t>Garantie de loyer pour locaux commerciaux</t>
  </si>
  <si>
    <t>Assurances Voitures</t>
  </si>
  <si>
    <t>Courant électrique, eau, gaz</t>
  </si>
  <si>
    <t>Electricité</t>
  </si>
  <si>
    <t>Frais de bureau et d'administration</t>
  </si>
  <si>
    <t>Fourniture de bureau</t>
  </si>
  <si>
    <t>Frais de port et de chèques postaux</t>
  </si>
  <si>
    <t>Téléphone et téléfax</t>
  </si>
  <si>
    <t>Frais informatique</t>
  </si>
  <si>
    <t>Frais de représentation</t>
  </si>
  <si>
    <t>Publicité et marketing</t>
  </si>
  <si>
    <t>Bénéfice d'exploitation (EBITDA)</t>
  </si>
  <si>
    <t>AMORTISSEMENTS</t>
  </si>
  <si>
    <t>Amortissement des installations</t>
  </si>
  <si>
    <t>Amortis. mobilier</t>
  </si>
  <si>
    <t>Amortis. Informatique</t>
  </si>
  <si>
    <t>Amortis. machines d'exploitation</t>
  </si>
  <si>
    <t>Amortis. outillage</t>
  </si>
  <si>
    <t>Amortis. véhicules</t>
  </si>
  <si>
    <t>Amorits. valeurs incorporelles</t>
  </si>
  <si>
    <t>Amort. goodwill</t>
  </si>
  <si>
    <t>Intérêts</t>
  </si>
  <si>
    <t>Intérêts sur emprunts</t>
  </si>
  <si>
    <t>IMPÔTS</t>
  </si>
  <si>
    <t>Impôts et contributions</t>
  </si>
  <si>
    <t>Impôts bénéfice et capital</t>
  </si>
  <si>
    <t>Bénéfice NET</t>
  </si>
  <si>
    <t>Riedo, Implenia, Fruiger</t>
  </si>
  <si>
    <t>Escomptes</t>
  </si>
  <si>
    <t>CHARGES FINANCIERES</t>
  </si>
  <si>
    <t>Frais de consultation juridique</t>
  </si>
  <si>
    <t>Intérêts et frais bancaires</t>
  </si>
  <si>
    <t>Charge et produit extraordinaire</t>
  </si>
  <si>
    <t>Charge exeptionelle 2017</t>
  </si>
  <si>
    <t>Renevue exeptionelle 2017</t>
  </si>
  <si>
    <t>extourne 2017 - 69'000</t>
  </si>
  <si>
    <t>Etat 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</si>
</sst>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CHF]\ #,##0.00;[$CHF]\ \-#,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Border="1"/>
    <xf numFmtId="0" fontId="1" fillId="0" borderId="0" xfId="0" applyFont="1" applyBorder="1"/>
    <xf numFmtId="0" fontId="8" fillId="0" borderId="0" xfId="0" applyFont="1" applyBorder="1"/>
    <xf numFmtId="0" fontId="3" fillId="0" borderId="0" xfId="0" applyFont="1" applyFill="1"/>
    <xf numFmtId="0" fontId="3" fillId="0" borderId="0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8" fillId="0" borderId="0" xfId="0" applyFont="1"/>
    <xf numFmtId="0" fontId="6" fillId="0" borderId="0" xfId="0" applyFont="1" applyBorder="1"/>
    <xf numFmtId="0" fontId="9" fillId="0" borderId="0" xfId="0" applyFont="1"/>
    <xf numFmtId="0" fontId="4" fillId="0" borderId="0" xfId="0" applyFont="1"/>
    <xf numFmtId="0" fontId="1" fillId="0" borderId="0" xfId="0" applyFont="1" applyFill="1"/>
    <xf numFmtId="0" fontId="4" fillId="0" borderId="0" xfId="0" applyFont="1" applyFill="1"/>
    <xf numFmtId="0" fontId="10" fillId="0" borderId="0" xfId="0" applyFont="1"/>
    <xf numFmtId="0" fontId="6" fillId="0" borderId="0" xfId="0" applyFont="1"/>
    <xf numFmtId="164" fontId="7" fillId="0" borderId="0" xfId="0" applyNumberFormat="1" applyFont="1"/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7" fillId="0" borderId="1" xfId="0" applyNumberFormat="1" applyFont="1" applyBorder="1"/>
    <xf numFmtId="3" fontId="4" fillId="0" borderId="0" xfId="0" applyNumberFormat="1" applyFont="1" applyFill="1" applyBorder="1"/>
    <xf numFmtId="3" fontId="11" fillId="0" borderId="0" xfId="0" applyNumberFormat="1" applyFont="1" applyBorder="1"/>
    <xf numFmtId="3" fontId="7" fillId="0" borderId="0" xfId="0" applyNumberFormat="1" applyFont="1" applyBorder="1"/>
    <xf numFmtId="3" fontId="3" fillId="0" borderId="0" xfId="0" applyNumberFormat="1" applyFont="1" applyFill="1" applyBorder="1"/>
    <xf numFmtId="3" fontId="7" fillId="0" borderId="2" xfId="0" applyNumberFormat="1" applyFont="1" applyBorder="1"/>
    <xf numFmtId="3" fontId="4" fillId="0" borderId="0" xfId="0" applyNumberFormat="1" applyFont="1" applyBorder="1"/>
    <xf numFmtId="3" fontId="3" fillId="2" borderId="0" xfId="0" applyNumberFormat="1" applyFont="1" applyFill="1" applyBorder="1"/>
    <xf numFmtId="3" fontId="1" fillId="0" borderId="0" xfId="0" applyNumberFormat="1" applyFont="1"/>
    <xf numFmtId="3" fontId="1" fillId="0" borderId="0" xfId="0" applyNumberFormat="1" applyFont="1" applyFill="1"/>
    <xf numFmtId="3" fontId="1" fillId="2" borderId="0" xfId="0" applyNumberFormat="1" applyFont="1" applyFill="1"/>
    <xf numFmtId="3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2838450</xdr:colOff>
      <xdr:row>0</xdr:row>
      <xdr:rowOff>28575</xdr:rowOff>
    </xdr:from>
    <xdr:to>
      <xdr:col>6</xdr:col>
      <xdr:colOff>171450</xdr:colOff>
      <xdr:row>0</xdr:row>
      <xdr:rowOff>301424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E5941E-E5DB-4EB6-98F2-41E43D91CEB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28575"/>
          <a:ext cx="2076450" cy="272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abSelected="1" view="pageLayout" zoomScaleNormal="100" workbookViewId="0">
      <selection activeCell="H5" sqref="H5"/>
    </sheetView>
  </sheetViews>
  <sheetFormatPr baseColWidth="10" defaultRowHeight="12.75" x14ac:dyDescent="0.2"/>
  <cols>
    <col min="1" max="1" width="5.7109375" style="1" customWidth="1"/>
    <col min="2" max="2" width="5.7109375" style="2" customWidth="1"/>
    <col min="3" max="3" width="30" style="3" customWidth="1"/>
    <col min="4" max="4" width="6.5703125" style="1" customWidth="1"/>
    <col min="5" max="5" width="10.28515625" style="22" bestFit="1" customWidth="1"/>
    <col min="6" max="6" width="9.85546875" style="22" bestFit="1" customWidth="1"/>
    <col min="7" max="7" width="6.42578125" style="34" bestFit="1" customWidth="1"/>
    <col min="8" max="8" width="19.85546875" style="40" bestFit="1" customWidth="1"/>
    <col min="9" max="16384" width="11.42578125" style="1"/>
  </cols>
  <sheetData>
    <row r="1" spans="1:8" ht="59.25" customHeight="1" x14ac:dyDescent="0.2"/>
    <row r="2" spans="1:8" ht="18.75" x14ac:dyDescent="0.3">
      <c r="A2" s="4" t="s">
        <v>0</v>
      </c>
      <c r="E2" s="23" t="s">
        <v>1</v>
      </c>
      <c r="F2" s="39" t="s">
        <v>79</v>
      </c>
    </row>
    <row r="3" spans="1:8" x14ac:dyDescent="0.2">
      <c r="E3" s="37" t="s">
        <v>2</v>
      </c>
      <c r="F3" s="38">
        <v>43190</v>
      </c>
    </row>
    <row r="4" spans="1:8" x14ac:dyDescent="0.2">
      <c r="B4" s="5"/>
      <c r="E4" s="24"/>
      <c r="F4" s="24"/>
      <c r="H4" s="41"/>
    </row>
    <row r="5" spans="1:8" x14ac:dyDescent="0.2">
      <c r="A5" s="7" t="s">
        <v>3</v>
      </c>
      <c r="B5" s="5"/>
      <c r="E5" s="24"/>
      <c r="F5" s="24"/>
      <c r="H5" s="41"/>
    </row>
    <row r="6" spans="1:8" x14ac:dyDescent="0.2">
      <c r="A6" s="5"/>
      <c r="B6" s="5"/>
      <c r="E6" s="24"/>
      <c r="F6" s="24"/>
      <c r="H6" s="41"/>
    </row>
    <row r="7" spans="1:8" x14ac:dyDescent="0.2">
      <c r="B7" s="2" t="s">
        <v>4</v>
      </c>
    </row>
    <row r="8" spans="1:8" x14ac:dyDescent="0.2">
      <c r="C8" s="3" t="s">
        <v>5</v>
      </c>
      <c r="E8" s="25">
        <v>1870000</v>
      </c>
      <c r="F8" s="25">
        <f>365690.34+13940.5</f>
        <v>379630.84</v>
      </c>
    </row>
    <row r="9" spans="1:8" x14ac:dyDescent="0.2">
      <c r="E9" s="26">
        <f>SUM(E8:E8)</f>
        <v>1870000</v>
      </c>
      <c r="F9" s="26">
        <f>SUM(F8:F8)</f>
        <v>379630.84</v>
      </c>
    </row>
    <row r="10" spans="1:8" x14ac:dyDescent="0.2">
      <c r="B10" s="2" t="s">
        <v>6</v>
      </c>
      <c r="E10" s="25"/>
      <c r="F10" s="25"/>
    </row>
    <row r="11" spans="1:8" x14ac:dyDescent="0.2">
      <c r="C11" s="3" t="s">
        <v>7</v>
      </c>
      <c r="E11" s="27">
        <v>-10000</v>
      </c>
      <c r="F11" s="27">
        <v>-4440.3999999999996</v>
      </c>
    </row>
    <row r="12" spans="1:8" x14ac:dyDescent="0.2">
      <c r="C12" s="3" t="s">
        <v>8</v>
      </c>
      <c r="E12" s="25">
        <v>-21000</v>
      </c>
      <c r="F12" s="25">
        <v>-2339.34</v>
      </c>
    </row>
    <row r="13" spans="1:8" x14ac:dyDescent="0.2">
      <c r="C13" s="3" t="s">
        <v>9</v>
      </c>
      <c r="E13" s="25">
        <v>-800</v>
      </c>
      <c r="F13" s="25">
        <v>-180.98</v>
      </c>
    </row>
    <row r="14" spans="1:8" x14ac:dyDescent="0.2">
      <c r="C14" s="8" t="s">
        <v>10</v>
      </c>
      <c r="E14" s="25">
        <v>-17000</v>
      </c>
      <c r="F14" s="28">
        <v>-16833.93</v>
      </c>
      <c r="H14" s="40" t="s">
        <v>70</v>
      </c>
    </row>
    <row r="15" spans="1:8" x14ac:dyDescent="0.2">
      <c r="E15" s="26">
        <f>SUM(E11:E14)</f>
        <v>-48800</v>
      </c>
      <c r="F15" s="26">
        <f>SUM(F11:F14)</f>
        <v>-23794.65</v>
      </c>
    </row>
    <row r="16" spans="1:8" x14ac:dyDescent="0.2">
      <c r="B16" s="2" t="s">
        <v>11</v>
      </c>
      <c r="E16" s="25"/>
      <c r="F16" s="30"/>
    </row>
    <row r="17" spans="1:8" x14ac:dyDescent="0.2">
      <c r="C17" s="8" t="s">
        <v>12</v>
      </c>
      <c r="E17" s="25">
        <v>250</v>
      </c>
      <c r="F17" s="33"/>
    </row>
    <row r="18" spans="1:8" x14ac:dyDescent="0.2">
      <c r="A18" s="6"/>
      <c r="B18" s="5"/>
      <c r="C18" s="9"/>
      <c r="D18" s="6"/>
      <c r="E18" s="26">
        <f>E17</f>
        <v>250</v>
      </c>
      <c r="F18" s="26">
        <f>F17</f>
        <v>0</v>
      </c>
    </row>
    <row r="19" spans="1:8" x14ac:dyDescent="0.2">
      <c r="A19" s="6"/>
      <c r="B19" s="5"/>
      <c r="C19" s="9"/>
      <c r="D19" s="6"/>
      <c r="E19" s="25"/>
      <c r="F19" s="25"/>
    </row>
    <row r="20" spans="1:8" x14ac:dyDescent="0.2">
      <c r="A20" s="10" t="s">
        <v>13</v>
      </c>
      <c r="B20" s="10"/>
      <c r="C20" s="11"/>
      <c r="D20" s="12"/>
      <c r="E20" s="26">
        <f>E9+E15+E18</f>
        <v>1821450</v>
      </c>
      <c r="F20" s="26">
        <f>F9+F15+F18</f>
        <v>355836.19</v>
      </c>
    </row>
    <row r="21" spans="1:8" x14ac:dyDescent="0.2">
      <c r="E21" s="25"/>
      <c r="F21" s="25"/>
    </row>
    <row r="22" spans="1:8" x14ac:dyDescent="0.2">
      <c r="A22" s="13" t="s">
        <v>14</v>
      </c>
      <c r="E22" s="25"/>
      <c r="F22" s="25"/>
    </row>
    <row r="23" spans="1:8" x14ac:dyDescent="0.2">
      <c r="A23" s="2"/>
      <c r="E23" s="25"/>
      <c r="F23" s="25"/>
    </row>
    <row r="24" spans="1:8" x14ac:dyDescent="0.2">
      <c r="B24" s="2" t="s">
        <v>15</v>
      </c>
      <c r="E24" s="25"/>
      <c r="F24" s="25"/>
    </row>
    <row r="25" spans="1:8" x14ac:dyDescent="0.2">
      <c r="C25" s="3" t="s">
        <v>16</v>
      </c>
      <c r="E25" s="25">
        <v>175000</v>
      </c>
      <c r="F25" s="33">
        <f>3162.93+324.4+G25</f>
        <v>3712.23</v>
      </c>
      <c r="G25" s="34">
        <f>224.9</f>
        <v>224.9</v>
      </c>
      <c r="H25" s="40" t="s">
        <v>78</v>
      </c>
    </row>
    <row r="26" spans="1:8" x14ac:dyDescent="0.2">
      <c r="C26" s="3" t="s">
        <v>17</v>
      </c>
      <c r="E26" s="25">
        <v>800000</v>
      </c>
      <c r="F26" s="25">
        <f>177217.83+G26</f>
        <v>204921.09</v>
      </c>
      <c r="G26" s="34">
        <f>817.25+437.6+2661.08+12901.71+5403.3+3025.12+1612.9+844.3</f>
        <v>27703.26</v>
      </c>
      <c r="H26" s="40" t="s">
        <v>78</v>
      </c>
    </row>
    <row r="27" spans="1:8" x14ac:dyDescent="0.2">
      <c r="C27" s="3" t="s">
        <v>71</v>
      </c>
      <c r="E27" s="25"/>
      <c r="F27" s="25">
        <v>-143.49</v>
      </c>
    </row>
    <row r="28" spans="1:8" x14ac:dyDescent="0.2">
      <c r="E28" s="26">
        <f>SUM(E25:E26)</f>
        <v>975000</v>
      </c>
      <c r="F28" s="26">
        <f>SUM(F25:F26)</f>
        <v>208633.32</v>
      </c>
    </row>
    <row r="29" spans="1:8" x14ac:dyDescent="0.2">
      <c r="B29" s="2" t="s">
        <v>18</v>
      </c>
      <c r="E29" s="29"/>
      <c r="F29" s="29"/>
    </row>
    <row r="30" spans="1:8" x14ac:dyDescent="0.2">
      <c r="C30" s="8" t="s">
        <v>19</v>
      </c>
      <c r="E30" s="25">
        <v>500</v>
      </c>
      <c r="F30" s="25">
        <f>292.75+918.5</f>
        <v>1211.25</v>
      </c>
    </row>
    <row r="31" spans="1:8" x14ac:dyDescent="0.2">
      <c r="E31" s="26">
        <f>E30</f>
        <v>500</v>
      </c>
      <c r="F31" s="26">
        <f>F30</f>
        <v>1211.25</v>
      </c>
    </row>
    <row r="32" spans="1:8" x14ac:dyDescent="0.2">
      <c r="B32" s="2" t="s">
        <v>20</v>
      </c>
      <c r="E32" s="25"/>
      <c r="F32" s="25"/>
    </row>
    <row r="33" spans="1:8" x14ac:dyDescent="0.2">
      <c r="C33" s="3" t="s">
        <v>21</v>
      </c>
      <c r="E33" s="25">
        <v>250</v>
      </c>
      <c r="F33" s="25">
        <v>4250.8</v>
      </c>
    </row>
    <row r="34" spans="1:8" x14ac:dyDescent="0.2">
      <c r="C34" s="8" t="s">
        <v>22</v>
      </c>
      <c r="E34" s="30">
        <v>70000</v>
      </c>
      <c r="F34" s="30">
        <f>5845.02+G34</f>
        <v>6012.42</v>
      </c>
      <c r="G34" s="34">
        <v>167.4</v>
      </c>
    </row>
    <row r="35" spans="1:8" x14ac:dyDescent="0.2">
      <c r="C35" s="8" t="s">
        <v>23</v>
      </c>
      <c r="E35" s="30">
        <v>1800</v>
      </c>
      <c r="F35" s="30">
        <f>111.44+G35</f>
        <v>391.44</v>
      </c>
      <c r="G35" s="34">
        <f>40*7</f>
        <v>280</v>
      </c>
    </row>
    <row r="36" spans="1:8" x14ac:dyDescent="0.2">
      <c r="A36" s="6"/>
      <c r="B36" s="5"/>
      <c r="C36" s="9" t="s">
        <v>24</v>
      </c>
      <c r="E36" s="25">
        <v>100</v>
      </c>
      <c r="F36" s="25">
        <v>710.45</v>
      </c>
    </row>
    <row r="37" spans="1:8" x14ac:dyDescent="0.2">
      <c r="A37" s="6"/>
      <c r="B37" s="5"/>
      <c r="C37" s="9"/>
      <c r="E37" s="26">
        <f>SUM(E33:E36)</f>
        <v>72150</v>
      </c>
      <c r="F37" s="26">
        <f>SUM(F33:F36)</f>
        <v>11365.110000000002</v>
      </c>
    </row>
    <row r="38" spans="1:8" x14ac:dyDescent="0.2">
      <c r="A38" s="6"/>
      <c r="B38" s="5"/>
      <c r="C38" s="9"/>
      <c r="D38" s="6"/>
      <c r="E38" s="25"/>
      <c r="F38" s="25"/>
    </row>
    <row r="39" spans="1:8" x14ac:dyDescent="0.2">
      <c r="A39" s="10" t="s">
        <v>13</v>
      </c>
      <c r="B39" s="10"/>
      <c r="C39" s="11"/>
      <c r="D39" s="12"/>
      <c r="E39" s="26">
        <f>E28+E37</f>
        <v>1047150</v>
      </c>
      <c r="F39" s="26">
        <f>F28+F31+F37</f>
        <v>221209.68000000002</v>
      </c>
    </row>
    <row r="40" spans="1:8" x14ac:dyDescent="0.2">
      <c r="A40" s="5"/>
      <c r="B40" s="5"/>
      <c r="C40" s="9"/>
      <c r="D40" s="6"/>
      <c r="E40" s="29"/>
      <c r="F40" s="29"/>
    </row>
    <row r="41" spans="1:8" s="6" customFormat="1" ht="16.5" thickBot="1" x14ac:dyDescent="0.3">
      <c r="A41" s="14" t="s">
        <v>25</v>
      </c>
      <c r="B41" s="5"/>
      <c r="C41" s="9"/>
      <c r="E41" s="31">
        <f>E20-E39</f>
        <v>774300</v>
      </c>
      <c r="F41" s="31">
        <f>F20-F39</f>
        <v>134626.50999999998</v>
      </c>
      <c r="G41" s="34"/>
      <c r="H41" s="42"/>
    </row>
    <row r="42" spans="1:8" ht="13.5" thickTop="1" x14ac:dyDescent="0.2"/>
    <row r="43" spans="1:8" x14ac:dyDescent="0.2">
      <c r="A43" s="5"/>
      <c r="B43" s="5"/>
      <c r="C43" s="9"/>
      <c r="D43" s="6"/>
      <c r="E43" s="29"/>
      <c r="F43" s="29"/>
    </row>
    <row r="44" spans="1:8" x14ac:dyDescent="0.2">
      <c r="A44" s="5"/>
      <c r="B44" s="5"/>
      <c r="C44" s="9"/>
      <c r="D44" s="6"/>
      <c r="E44" s="29"/>
      <c r="F44" s="29"/>
    </row>
    <row r="45" spans="1:8" x14ac:dyDescent="0.2">
      <c r="A45" s="5"/>
      <c r="B45" s="5"/>
      <c r="C45" s="9"/>
      <c r="D45" s="6"/>
      <c r="E45" s="29"/>
      <c r="F45" s="29"/>
    </row>
    <row r="46" spans="1:8" x14ac:dyDescent="0.2">
      <c r="E46" s="25"/>
      <c r="F46" s="25"/>
    </row>
    <row r="47" spans="1:8" x14ac:dyDescent="0.2">
      <c r="A47" s="13" t="s">
        <v>26</v>
      </c>
      <c r="E47" s="25"/>
      <c r="F47" s="25"/>
    </row>
    <row r="48" spans="1:8" x14ac:dyDescent="0.2">
      <c r="E48" s="25"/>
      <c r="F48" s="25"/>
    </row>
    <row r="49" spans="2:6" x14ac:dyDescent="0.2">
      <c r="B49" s="2" t="s">
        <v>27</v>
      </c>
      <c r="E49" s="25"/>
      <c r="F49" s="25"/>
    </row>
    <row r="50" spans="2:6" x14ac:dyDescent="0.2">
      <c r="C50" s="3" t="s">
        <v>28</v>
      </c>
      <c r="E50" s="32">
        <v>360000</v>
      </c>
      <c r="F50" s="32">
        <v>91658.55</v>
      </c>
    </row>
    <row r="51" spans="2:6" x14ac:dyDescent="0.2">
      <c r="C51" s="3" t="s">
        <v>29</v>
      </c>
      <c r="E51" s="32">
        <v>3200</v>
      </c>
      <c r="F51" s="32">
        <v>549</v>
      </c>
    </row>
    <row r="52" spans="2:6" x14ac:dyDescent="0.2">
      <c r="C52" s="3" t="s">
        <v>30</v>
      </c>
      <c r="E52" s="32">
        <v>1800</v>
      </c>
      <c r="F52" s="32">
        <v>473.8</v>
      </c>
    </row>
    <row r="53" spans="2:6" x14ac:dyDescent="0.2">
      <c r="C53" s="3" t="s">
        <v>31</v>
      </c>
      <c r="E53" s="28">
        <f>13200*2</f>
        <v>26400</v>
      </c>
      <c r="F53" s="32">
        <v>3325</v>
      </c>
    </row>
    <row r="54" spans="2:6" x14ac:dyDescent="0.2">
      <c r="C54" s="3" t="s">
        <v>32</v>
      </c>
      <c r="E54" s="32">
        <v>31500</v>
      </c>
      <c r="F54" s="32">
        <v>8280</v>
      </c>
    </row>
    <row r="55" spans="2:6" x14ac:dyDescent="0.2">
      <c r="E55" s="26">
        <f>SUM(E50:E54)</f>
        <v>422900</v>
      </c>
      <c r="F55" s="26">
        <f>SUM(F50:F54)</f>
        <v>104286.35</v>
      </c>
    </row>
    <row r="56" spans="2:6" x14ac:dyDescent="0.2">
      <c r="B56" s="15" t="s">
        <v>33</v>
      </c>
      <c r="C56" s="16"/>
      <c r="E56" s="25"/>
      <c r="F56" s="25"/>
    </row>
    <row r="57" spans="2:6" x14ac:dyDescent="0.2">
      <c r="B57" s="15"/>
      <c r="C57" s="16" t="s">
        <v>33</v>
      </c>
      <c r="E57" s="25">
        <v>100000</v>
      </c>
      <c r="F57" s="25">
        <v>22176</v>
      </c>
    </row>
    <row r="58" spans="2:6" x14ac:dyDescent="0.2">
      <c r="E58" s="26">
        <f>SUM(E57)</f>
        <v>100000</v>
      </c>
      <c r="F58" s="26">
        <f>SUM(F57)</f>
        <v>22176</v>
      </c>
    </row>
    <row r="59" spans="2:6" x14ac:dyDescent="0.2">
      <c r="B59" s="15" t="s">
        <v>34</v>
      </c>
      <c r="E59" s="25"/>
      <c r="F59" s="25"/>
    </row>
    <row r="60" spans="2:6" x14ac:dyDescent="0.2">
      <c r="C60" s="3" t="s">
        <v>35</v>
      </c>
      <c r="E60" s="25">
        <v>48000</v>
      </c>
      <c r="F60" s="25">
        <v>11940</v>
      </c>
    </row>
    <row r="61" spans="2:6" x14ac:dyDescent="0.2">
      <c r="C61" s="3" t="s">
        <v>36</v>
      </c>
      <c r="E61" s="25">
        <v>2000</v>
      </c>
      <c r="F61" s="25">
        <v>231.6</v>
      </c>
    </row>
    <row r="62" spans="2:6" x14ac:dyDescent="0.2">
      <c r="E62" s="26">
        <f>SUM(E60:E61)</f>
        <v>50000</v>
      </c>
      <c r="F62" s="26">
        <f>SUM(F60:F61)</f>
        <v>12171.6</v>
      </c>
    </row>
    <row r="63" spans="2:6" x14ac:dyDescent="0.2">
      <c r="B63" s="15" t="s">
        <v>37</v>
      </c>
      <c r="C63" s="16"/>
      <c r="E63" s="29"/>
      <c r="F63" s="29"/>
    </row>
    <row r="64" spans="2:6" x14ac:dyDescent="0.2">
      <c r="B64" s="15"/>
      <c r="C64" s="16" t="s">
        <v>38</v>
      </c>
      <c r="E64" s="25">
        <v>47000</v>
      </c>
      <c r="F64" s="25">
        <f>13915.31-322.1-373.85</f>
        <v>13219.359999999999</v>
      </c>
    </row>
    <row r="65" spans="2:7" x14ac:dyDescent="0.2">
      <c r="B65" s="15"/>
      <c r="C65" s="16" t="s">
        <v>37</v>
      </c>
      <c r="E65" s="25">
        <v>19500</v>
      </c>
      <c r="F65" s="25">
        <f>5953.05+G65</f>
        <v>3058.9500000000003</v>
      </c>
      <c r="G65" s="34">
        <f>-(739.5+540.7+1050+980+481.2+67.4)/12*9</f>
        <v>-2894.1</v>
      </c>
    </row>
    <row r="66" spans="2:7" x14ac:dyDescent="0.2">
      <c r="C66" s="8" t="s">
        <v>39</v>
      </c>
      <c r="D66" s="17"/>
      <c r="E66" s="25">
        <v>22000</v>
      </c>
      <c r="F66" s="25">
        <f>3544.85+G66</f>
        <v>5091.3681058495822</v>
      </c>
      <c r="G66" s="34">
        <f>1665.6/1.077</f>
        <v>1546.5181058495821</v>
      </c>
    </row>
    <row r="67" spans="2:7" x14ac:dyDescent="0.2">
      <c r="E67" s="26">
        <f>SUM(E64:E66)</f>
        <v>88500</v>
      </c>
      <c r="F67" s="26">
        <f>SUM(F64:F66)</f>
        <v>21369.678105849584</v>
      </c>
    </row>
    <row r="68" spans="2:7" x14ac:dyDescent="0.2">
      <c r="B68" s="2" t="s">
        <v>40</v>
      </c>
      <c r="E68" s="25"/>
      <c r="F68" s="25"/>
    </row>
    <row r="69" spans="2:7" x14ac:dyDescent="0.2">
      <c r="C69" s="3" t="s">
        <v>41</v>
      </c>
      <c r="E69" s="32">
        <v>1700</v>
      </c>
      <c r="F69" s="32">
        <f>384+41.2</f>
        <v>425.2</v>
      </c>
    </row>
    <row r="70" spans="2:7" x14ac:dyDescent="0.2">
      <c r="C70" s="3" t="s">
        <v>42</v>
      </c>
      <c r="E70" s="25">
        <v>745</v>
      </c>
      <c r="F70" s="25">
        <v>186.5</v>
      </c>
    </row>
    <row r="71" spans="2:7" x14ac:dyDescent="0.2">
      <c r="C71" s="8" t="s">
        <v>43</v>
      </c>
      <c r="E71" s="30">
        <v>1440</v>
      </c>
      <c r="F71" s="30">
        <f>181.5</f>
        <v>181.5</v>
      </c>
    </row>
    <row r="72" spans="2:7" x14ac:dyDescent="0.2">
      <c r="C72" s="18" t="s">
        <v>44</v>
      </c>
      <c r="D72" s="17"/>
      <c r="E72" s="30">
        <v>10000</v>
      </c>
      <c r="F72" s="30">
        <v>2473.5</v>
      </c>
    </row>
    <row r="73" spans="2:7" x14ac:dyDescent="0.2">
      <c r="E73" s="26">
        <f>SUM(E69:E72)</f>
        <v>13885</v>
      </c>
      <c r="F73" s="26">
        <f>SUM(F69:F72)</f>
        <v>3266.7</v>
      </c>
    </row>
    <row r="74" spans="2:7" x14ac:dyDescent="0.2">
      <c r="B74" s="2" t="s">
        <v>45</v>
      </c>
      <c r="E74" s="25"/>
      <c r="F74" s="25"/>
    </row>
    <row r="75" spans="2:7" x14ac:dyDescent="0.2">
      <c r="C75" s="3" t="s">
        <v>46</v>
      </c>
      <c r="E75" s="25">
        <v>1000</v>
      </c>
      <c r="F75" s="25">
        <f>170+157.85</f>
        <v>327.85</v>
      </c>
      <c r="G75" s="35"/>
    </row>
    <row r="76" spans="2:7" x14ac:dyDescent="0.2">
      <c r="E76" s="26">
        <f>E75</f>
        <v>1000</v>
      </c>
      <c r="F76" s="26">
        <f>F75</f>
        <v>327.85</v>
      </c>
    </row>
    <row r="77" spans="2:7" x14ac:dyDescent="0.2">
      <c r="B77" s="2" t="s">
        <v>47</v>
      </c>
      <c r="E77" s="25"/>
      <c r="F77" s="25"/>
    </row>
    <row r="78" spans="2:7" x14ac:dyDescent="0.2">
      <c r="C78" s="3" t="s">
        <v>48</v>
      </c>
      <c r="E78" s="25">
        <v>2300</v>
      </c>
      <c r="F78" s="25">
        <v>683.28</v>
      </c>
    </row>
    <row r="79" spans="2:7" x14ac:dyDescent="0.2">
      <c r="C79" s="3" t="s">
        <v>49</v>
      </c>
      <c r="E79" s="25">
        <v>1200</v>
      </c>
      <c r="F79" s="25">
        <v>342.35</v>
      </c>
    </row>
    <row r="80" spans="2:7" x14ac:dyDescent="0.2">
      <c r="C80" s="3" t="s">
        <v>50</v>
      </c>
      <c r="E80" s="25">
        <v>4500</v>
      </c>
      <c r="F80" s="25">
        <f>134.65+1460.97</f>
        <v>1595.6200000000001</v>
      </c>
    </row>
    <row r="81" spans="1:7" x14ac:dyDescent="0.2">
      <c r="C81" s="3" t="s">
        <v>51</v>
      </c>
      <c r="E81" s="25">
        <v>11000</v>
      </c>
      <c r="F81" s="25">
        <v>2760.67</v>
      </c>
    </row>
    <row r="82" spans="1:7" x14ac:dyDescent="0.2">
      <c r="C82" s="3" t="s">
        <v>73</v>
      </c>
      <c r="E82" s="25"/>
      <c r="F82" s="25">
        <v>5445.45</v>
      </c>
    </row>
    <row r="83" spans="1:7" ht="13.5" customHeight="1" x14ac:dyDescent="0.2">
      <c r="E83" s="26">
        <f>SUM(E78:E82)</f>
        <v>19000</v>
      </c>
      <c r="F83" s="26">
        <f>SUM(F78:F82)</f>
        <v>10827.369999999999</v>
      </c>
    </row>
    <row r="84" spans="1:7" x14ac:dyDescent="0.2">
      <c r="B84" s="2" t="s">
        <v>52</v>
      </c>
      <c r="E84" s="25"/>
      <c r="F84" s="25"/>
    </row>
    <row r="85" spans="1:7" x14ac:dyDescent="0.2">
      <c r="C85" s="3" t="s">
        <v>53</v>
      </c>
      <c r="E85" s="25">
        <v>10000</v>
      </c>
      <c r="F85" s="25"/>
    </row>
    <row r="86" spans="1:7" x14ac:dyDescent="0.2">
      <c r="C86" s="3" t="s">
        <v>52</v>
      </c>
      <c r="E86" s="25">
        <v>20000</v>
      </c>
      <c r="F86" s="25">
        <v>8710.1200000000008</v>
      </c>
      <c r="G86" s="36"/>
    </row>
    <row r="87" spans="1:7" x14ac:dyDescent="0.2">
      <c r="E87" s="26">
        <f>SUM(E85:E86)</f>
        <v>30000</v>
      </c>
      <c r="F87" s="26">
        <f>SUM(F85:F86)</f>
        <v>8710.1200000000008</v>
      </c>
    </row>
    <row r="88" spans="1:7" x14ac:dyDescent="0.2">
      <c r="B88" s="2" t="s">
        <v>75</v>
      </c>
      <c r="E88" s="29"/>
      <c r="F88" s="29"/>
    </row>
    <row r="89" spans="1:7" x14ac:dyDescent="0.2">
      <c r="C89" s="1" t="s">
        <v>76</v>
      </c>
      <c r="E89" s="29"/>
      <c r="F89" s="25">
        <v>12485.01</v>
      </c>
    </row>
    <row r="90" spans="1:7" x14ac:dyDescent="0.2">
      <c r="C90" s="1" t="s">
        <v>77</v>
      </c>
      <c r="E90" s="29"/>
      <c r="F90" s="25">
        <v>-10046.67</v>
      </c>
    </row>
    <row r="91" spans="1:7" x14ac:dyDescent="0.2">
      <c r="A91" s="6"/>
      <c r="B91" s="5"/>
      <c r="C91" s="9"/>
      <c r="D91" s="6"/>
      <c r="E91" s="26"/>
      <c r="F91" s="26">
        <f>SUM(F89:F90)</f>
        <v>2438.34</v>
      </c>
    </row>
    <row r="92" spans="1:7" x14ac:dyDescent="0.2">
      <c r="A92" s="6"/>
      <c r="B92" s="5"/>
      <c r="C92" s="9"/>
      <c r="D92" s="6"/>
      <c r="E92" s="25"/>
      <c r="F92" s="25"/>
    </row>
    <row r="93" spans="1:7" x14ac:dyDescent="0.2">
      <c r="A93" s="10" t="s">
        <v>13</v>
      </c>
      <c r="B93" s="10"/>
      <c r="C93" s="11"/>
      <c r="D93" s="12"/>
      <c r="E93" s="26">
        <f>E55+E58+E62+E67+E73+E76+E83+E87</f>
        <v>725285</v>
      </c>
      <c r="F93" s="26">
        <f>F55+F58+F62+F67+F73+F76+F83+F87+F91</f>
        <v>185574.00810584961</v>
      </c>
    </row>
    <row r="94" spans="1:7" x14ac:dyDescent="0.2">
      <c r="A94" s="5"/>
      <c r="B94" s="5"/>
      <c r="C94" s="9"/>
      <c r="D94" s="6"/>
      <c r="E94" s="29"/>
      <c r="F94" s="29"/>
    </row>
    <row r="95" spans="1:7" ht="16.5" thickBot="1" x14ac:dyDescent="0.3">
      <c r="A95" s="14" t="s">
        <v>54</v>
      </c>
      <c r="B95" s="5"/>
      <c r="C95" s="9"/>
      <c r="D95" s="6"/>
      <c r="E95" s="31">
        <f>E41-E93</f>
        <v>49015</v>
      </c>
      <c r="F95" s="31">
        <f>F41-F93</f>
        <v>-50947.498105849634</v>
      </c>
    </row>
    <row r="96" spans="1:7" ht="13.5" thickTop="1" x14ac:dyDescent="0.2">
      <c r="A96" s="5"/>
      <c r="B96" s="5"/>
      <c r="C96" s="9"/>
      <c r="D96" s="6"/>
      <c r="E96" s="29"/>
      <c r="F96" s="29"/>
    </row>
    <row r="97" spans="1:6" x14ac:dyDescent="0.2">
      <c r="A97" s="5"/>
      <c r="B97" s="5"/>
      <c r="C97" s="9"/>
      <c r="D97" s="6"/>
      <c r="E97" s="29"/>
      <c r="F97" s="29"/>
    </row>
    <row r="98" spans="1:6" x14ac:dyDescent="0.2">
      <c r="A98" s="5"/>
      <c r="B98" s="5"/>
      <c r="C98" s="9"/>
      <c r="D98" s="6"/>
      <c r="E98" s="29"/>
      <c r="F98" s="29"/>
    </row>
    <row r="99" spans="1:6" x14ac:dyDescent="0.2">
      <c r="A99" s="5"/>
      <c r="B99" s="5"/>
      <c r="C99" s="9"/>
      <c r="D99" s="6"/>
      <c r="E99" s="29"/>
      <c r="F99" s="29"/>
    </row>
    <row r="100" spans="1:6" x14ac:dyDescent="0.2">
      <c r="A100" s="5"/>
      <c r="B100" s="5"/>
      <c r="C100" s="9"/>
      <c r="D100" s="6"/>
      <c r="E100" s="29"/>
      <c r="F100" s="29"/>
    </row>
    <row r="101" spans="1:6" x14ac:dyDescent="0.2">
      <c r="A101" s="19" t="s">
        <v>55</v>
      </c>
      <c r="E101" s="25"/>
      <c r="F101" s="25"/>
    </row>
    <row r="103" spans="1:6" x14ac:dyDescent="0.2">
      <c r="B103" s="2" t="s">
        <v>56</v>
      </c>
      <c r="E103" s="25"/>
      <c r="F103" s="25"/>
    </row>
    <row r="104" spans="1:6" x14ac:dyDescent="0.2">
      <c r="C104" s="3" t="s">
        <v>57</v>
      </c>
      <c r="E104" s="25">
        <v>500</v>
      </c>
      <c r="F104" s="25">
        <v>125</v>
      </c>
    </row>
    <row r="105" spans="1:6" x14ac:dyDescent="0.2">
      <c r="C105" s="3" t="s">
        <v>58</v>
      </c>
      <c r="E105" s="25">
        <v>4400</v>
      </c>
      <c r="F105" s="25">
        <f>3835.98/4</f>
        <v>958.995</v>
      </c>
    </row>
    <row r="106" spans="1:6" x14ac:dyDescent="0.2">
      <c r="C106" s="3" t="s">
        <v>59</v>
      </c>
      <c r="E106" s="25">
        <v>5700</v>
      </c>
      <c r="F106" s="25">
        <f>5650/4</f>
        <v>1412.5</v>
      </c>
    </row>
    <row r="107" spans="1:6" x14ac:dyDescent="0.2">
      <c r="C107" s="3" t="s">
        <v>60</v>
      </c>
      <c r="E107" s="25">
        <v>2400</v>
      </c>
      <c r="F107" s="25">
        <f>2400/4</f>
        <v>600</v>
      </c>
    </row>
    <row r="108" spans="1:6" x14ac:dyDescent="0.2">
      <c r="C108" s="3" t="s">
        <v>61</v>
      </c>
      <c r="E108" s="25">
        <v>6300</v>
      </c>
      <c r="F108" s="25">
        <f>9959.26/4</f>
        <v>2489.8150000000001</v>
      </c>
    </row>
    <row r="109" spans="1:6" x14ac:dyDescent="0.2">
      <c r="C109" s="3" t="s">
        <v>62</v>
      </c>
      <c r="E109" s="25">
        <v>800</v>
      </c>
      <c r="F109" s="33"/>
    </row>
    <row r="110" spans="1:6" x14ac:dyDescent="0.2">
      <c r="C110" s="3" t="s">
        <v>63</v>
      </c>
      <c r="E110" s="25">
        <v>8600</v>
      </c>
      <c r="F110" s="25">
        <f>8600/4</f>
        <v>2150</v>
      </c>
    </row>
    <row r="111" spans="1:6" x14ac:dyDescent="0.2">
      <c r="C111" s="19"/>
      <c r="E111" s="26">
        <f>SUM(E104:E110)</f>
        <v>28700</v>
      </c>
      <c r="F111" s="26">
        <f>SUM(F104:F110)</f>
        <v>7736.3099999999995</v>
      </c>
    </row>
    <row r="112" spans="1:6" x14ac:dyDescent="0.2">
      <c r="A112" s="6"/>
      <c r="B112" s="5"/>
      <c r="C112" s="9"/>
      <c r="D112" s="6"/>
      <c r="E112" s="25"/>
      <c r="F112" s="25"/>
    </row>
    <row r="113" spans="1:6" x14ac:dyDescent="0.2">
      <c r="A113" s="10" t="s">
        <v>13</v>
      </c>
      <c r="B113" s="10"/>
      <c r="C113" s="11"/>
      <c r="D113" s="12"/>
      <c r="E113" s="26">
        <f>E111</f>
        <v>28700</v>
      </c>
      <c r="F113" s="26">
        <f>F111</f>
        <v>7736.3099999999995</v>
      </c>
    </row>
    <row r="114" spans="1:6" x14ac:dyDescent="0.2">
      <c r="E114" s="29"/>
      <c r="F114" s="29"/>
    </row>
    <row r="115" spans="1:6" x14ac:dyDescent="0.2">
      <c r="A115" s="19" t="s">
        <v>72</v>
      </c>
      <c r="E115" s="29"/>
      <c r="F115" s="29"/>
    </row>
    <row r="116" spans="1:6" x14ac:dyDescent="0.2">
      <c r="A116" s="19"/>
      <c r="E116" s="29"/>
      <c r="F116" s="29"/>
    </row>
    <row r="117" spans="1:6" x14ac:dyDescent="0.2">
      <c r="B117" s="2" t="s">
        <v>64</v>
      </c>
      <c r="E117" s="25"/>
      <c r="F117" s="25"/>
    </row>
    <row r="118" spans="1:6" x14ac:dyDescent="0.2">
      <c r="C118" s="3" t="s">
        <v>65</v>
      </c>
      <c r="E118" s="25">
        <v>5000</v>
      </c>
      <c r="F118" s="25">
        <f>636.52+104.17</f>
        <v>740.68999999999994</v>
      </c>
    </row>
    <row r="119" spans="1:6" x14ac:dyDescent="0.2">
      <c r="C119" s="3" t="s">
        <v>74</v>
      </c>
      <c r="E119" s="25">
        <v>8000</v>
      </c>
      <c r="F119" s="25">
        <f>108.05+40.23+1468.75</f>
        <v>1617.03</v>
      </c>
    </row>
    <row r="120" spans="1:6" x14ac:dyDescent="0.2">
      <c r="E120" s="26">
        <f>SUM(E118:E119)</f>
        <v>13000</v>
      </c>
      <c r="F120" s="26">
        <f>SUM(F118:F119)</f>
        <v>2357.7199999999998</v>
      </c>
    </row>
    <row r="121" spans="1:6" x14ac:dyDescent="0.2">
      <c r="A121" s="6"/>
      <c r="B121" s="5"/>
      <c r="C121" s="9"/>
      <c r="D121" s="6"/>
      <c r="E121" s="25"/>
      <c r="F121" s="25"/>
    </row>
    <row r="122" spans="1:6" x14ac:dyDescent="0.2">
      <c r="A122" s="10" t="s">
        <v>13</v>
      </c>
      <c r="B122" s="10"/>
      <c r="C122" s="11"/>
      <c r="D122" s="12"/>
      <c r="E122" s="26">
        <f>E120</f>
        <v>13000</v>
      </c>
      <c r="F122" s="26">
        <f>F120</f>
        <v>2357.7199999999998</v>
      </c>
    </row>
    <row r="123" spans="1:6" x14ac:dyDescent="0.2">
      <c r="A123" s="5"/>
      <c r="B123" s="5"/>
      <c r="C123" s="9"/>
      <c r="D123" s="6"/>
      <c r="E123" s="29"/>
      <c r="F123" s="29"/>
    </row>
    <row r="124" spans="1:6" x14ac:dyDescent="0.2">
      <c r="A124" s="19" t="s">
        <v>66</v>
      </c>
      <c r="E124" s="25"/>
      <c r="F124" s="25"/>
    </row>
    <row r="125" spans="1:6" x14ac:dyDescent="0.2">
      <c r="E125" s="25"/>
      <c r="F125" s="25"/>
    </row>
    <row r="126" spans="1:6" x14ac:dyDescent="0.2">
      <c r="B126" s="2" t="s">
        <v>67</v>
      </c>
      <c r="E126" s="25"/>
      <c r="F126" s="25"/>
    </row>
    <row r="127" spans="1:6" x14ac:dyDescent="0.2">
      <c r="C127" s="3" t="s">
        <v>68</v>
      </c>
      <c r="E127" s="25">
        <v>200</v>
      </c>
      <c r="F127" s="25">
        <f>45.45*3/4</f>
        <v>34.087500000000006</v>
      </c>
    </row>
    <row r="128" spans="1:6" x14ac:dyDescent="0.2">
      <c r="E128" s="26">
        <f>E127</f>
        <v>200</v>
      </c>
      <c r="F128" s="26">
        <f>F127</f>
        <v>34.087500000000006</v>
      </c>
    </row>
    <row r="129" spans="1:8" x14ac:dyDescent="0.2">
      <c r="A129" s="6"/>
      <c r="B129" s="5"/>
      <c r="C129" s="9"/>
      <c r="D129" s="6"/>
      <c r="E129" s="25"/>
      <c r="F129" s="25"/>
    </row>
    <row r="130" spans="1:8" x14ac:dyDescent="0.2">
      <c r="A130" s="10" t="s">
        <v>13</v>
      </c>
      <c r="B130" s="10"/>
      <c r="C130" s="11"/>
      <c r="D130" s="12"/>
      <c r="E130" s="26">
        <f>E128</f>
        <v>200</v>
      </c>
      <c r="F130" s="26">
        <f>F128</f>
        <v>34.087500000000006</v>
      </c>
    </row>
    <row r="131" spans="1:8" x14ac:dyDescent="0.2">
      <c r="E131" s="25"/>
      <c r="F131" s="25"/>
    </row>
    <row r="132" spans="1:8" ht="16.5" thickBot="1" x14ac:dyDescent="0.3">
      <c r="A132" s="20" t="s">
        <v>69</v>
      </c>
      <c r="E132" s="31">
        <f>E95-E113-E122-E130</f>
        <v>7115</v>
      </c>
      <c r="F132" s="31">
        <f>F95-F113-F122-F130</f>
        <v>-61075.615605849634</v>
      </c>
    </row>
    <row r="133" spans="1:8" ht="13.5" thickTop="1" x14ac:dyDescent="0.2">
      <c r="E133" s="25"/>
      <c r="F133" s="25"/>
    </row>
    <row r="134" spans="1:8" s="6" customFormat="1" x14ac:dyDescent="0.2">
      <c r="B134" s="5"/>
      <c r="C134" s="9"/>
      <c r="E134" s="25"/>
      <c r="F134" s="25"/>
      <c r="G134" s="34"/>
      <c r="H134" s="42"/>
    </row>
    <row r="135" spans="1:8" s="6" customFormat="1" x14ac:dyDescent="0.2">
      <c r="B135" s="5"/>
      <c r="C135" s="9"/>
      <c r="E135" s="25"/>
      <c r="F135" s="25"/>
      <c r="G135" s="34"/>
      <c r="H135" s="42"/>
    </row>
    <row r="146" spans="3:3" x14ac:dyDescent="0.2">
      <c r="C146" s="21"/>
    </row>
    <row r="147" spans="3:3" x14ac:dyDescent="0.2">
      <c r="C147" s="21"/>
    </row>
    <row r="148" spans="3:3" x14ac:dyDescent="0.2">
      <c r="C148" s="21"/>
    </row>
    <row r="149" spans="3:3" x14ac:dyDescent="0.2">
      <c r="C149" s="21"/>
    </row>
  </sheetData>
  <pageMargins left="0.4375" right="0.19791666666666666" top="0.51181102362204722" bottom="0.9055118110236221" header="0.70866141732283472" footer="0.31496062992125984"/>
  <pageSetup paperSize="9" fitToHeight="4" orientation="portrait" r:id="rId1"/>
  <headerFooter>
    <oddFooter>&amp;CPROMERKA SA - Chemin de Cousson 23 – 1032 Romanel-sur-Lausanne
Tél. 021 633 79 19 – Fax 021 633 77 08 – info@promerka.com</oddFooter>
  </headerFooter>
  <rowBreaks count="2" manualBreakCount="2">
    <brk id="46" max="16383" man="1"/>
    <brk id="1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2018-03-31</vt:lpstr>
      <vt:lpstr>'2018-03-31'!Impression_des_titres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2018-07-24T05:50:16Z</cp:lastPrinted>
  <dcterms:created xsi:type="dcterms:W3CDTF">2018-07-23T16:46:48Z</dcterms:created>
  <dcterms:modified xsi:type="dcterms:W3CDTF">2018-07-24T05:50:28Z</dcterms:modified>
</cp:coreProperties>
</file>