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ATAS\Administration\Verwaltung\Comptabilité\PP - budget - flux de trésorie\"/>
    </mc:Choice>
  </mc:AlternateContent>
  <xr:revisionPtr revIDLastSave="0" documentId="13_ncr:1_{1035852A-63C3-4C39-8108-B40093F40420}" xr6:coauthVersionLast="47" xr6:coauthVersionMax="47" xr10:uidLastSave="{00000000-0000-0000-0000-000000000000}"/>
  <bookViews>
    <workbookView xWindow="-120" yWindow="-120" windowWidth="29040" windowHeight="15840" activeTab="1" xr2:uid="{27980B6A-99D1-4075-89FF-D1E455FCBDBC}"/>
  </bookViews>
  <sheets>
    <sheet name="% du CA" sheetId="8" r:id="rId1"/>
    <sheet name="PP 2018-2023" sheetId="6" r:id="rId2"/>
    <sheet name="Flux" sheetId="7" r:id="rId3"/>
  </sheets>
  <definedNames>
    <definedName name="_xlnm.Print_Titles" localSheetId="1">'PP 2018-2023'!$1:$4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68" i="7" l="1"/>
  <c r="AB194" i="6"/>
  <c r="J88" i="6"/>
  <c r="AE83" i="6"/>
  <c r="AE74" i="6"/>
  <c r="AE91" i="6" l="1"/>
  <c r="AE82" i="6"/>
  <c r="AE65" i="6"/>
  <c r="AB197" i="6"/>
  <c r="V197" i="6"/>
  <c r="AE152" i="6" l="1"/>
  <c r="AE182" i="6" l="1"/>
  <c r="AE184" i="6" s="1"/>
  <c r="AE172" i="6"/>
  <c r="AE174" i="6" s="1"/>
  <c r="AE158" i="6"/>
  <c r="AE160" i="6" s="1"/>
  <c r="AE142" i="6"/>
  <c r="AE144" i="6" s="1"/>
  <c r="AE124" i="6"/>
  <c r="AE118" i="6"/>
  <c r="AE101" i="6"/>
  <c r="AE98" i="6"/>
  <c r="AE88" i="6"/>
  <c r="AE80" i="6"/>
  <c r="AE75" i="6"/>
  <c r="AE49" i="6"/>
  <c r="AE43" i="6"/>
  <c r="AE36" i="6"/>
  <c r="AE33" i="6"/>
  <c r="AE23" i="6"/>
  <c r="AE20" i="6"/>
  <c r="AE9" i="6"/>
  <c r="J91" i="6"/>
  <c r="J118" i="6"/>
  <c r="J101" i="6"/>
  <c r="J80" i="6"/>
  <c r="J75" i="6"/>
  <c r="J36" i="6"/>
  <c r="J23" i="6"/>
  <c r="G95" i="6"/>
  <c r="AB172" i="6"/>
  <c r="AB174" i="6" s="1"/>
  <c r="AB182" i="6"/>
  <c r="AB184" i="6" s="1"/>
  <c r="AB158" i="6"/>
  <c r="AB160" i="6" s="1"/>
  <c r="AB142" i="6"/>
  <c r="AB144" i="6" s="1"/>
  <c r="AB124" i="6"/>
  <c r="AB118" i="6"/>
  <c r="AB101" i="6"/>
  <c r="AB93" i="6"/>
  <c r="AB98" i="6" s="1"/>
  <c r="AB88" i="6"/>
  <c r="AB80" i="6"/>
  <c r="AB75" i="6"/>
  <c r="AB65" i="6"/>
  <c r="AB59" i="6"/>
  <c r="AB45" i="6"/>
  <c r="AB49" i="6" s="1"/>
  <c r="AB39" i="6"/>
  <c r="AB43" i="6" s="1"/>
  <c r="AB36" i="6"/>
  <c r="AB31" i="6"/>
  <c r="AB30" i="6"/>
  <c r="AB23" i="6"/>
  <c r="AB14" i="6"/>
  <c r="AB12" i="6"/>
  <c r="AB9" i="6"/>
  <c r="AB33" i="6" l="1"/>
  <c r="AF75" i="6"/>
  <c r="AC75" i="6"/>
  <c r="AF182" i="6"/>
  <c r="AF144" i="6"/>
  <c r="AF124" i="6"/>
  <c r="AF88" i="6"/>
  <c r="AF36" i="6"/>
  <c r="AF20" i="6"/>
  <c r="AF160" i="6"/>
  <c r="AF142" i="6"/>
  <c r="AF118" i="6"/>
  <c r="AF80" i="6"/>
  <c r="AF33" i="6"/>
  <c r="AF174" i="6"/>
  <c r="AF158" i="6"/>
  <c r="AF101" i="6"/>
  <c r="AF49" i="6"/>
  <c r="AF184" i="6"/>
  <c r="AF172" i="6"/>
  <c r="AF98" i="6"/>
  <c r="AF43" i="6"/>
  <c r="AF23" i="6"/>
  <c r="AE25" i="6"/>
  <c r="AF25" i="6" s="1"/>
  <c r="AE72" i="6"/>
  <c r="AE127" i="6" s="1"/>
  <c r="AF127" i="6" s="1"/>
  <c r="AE51" i="6"/>
  <c r="AF51" i="6" s="1"/>
  <c r="AC88" i="6"/>
  <c r="AC101" i="6"/>
  <c r="AB72" i="6"/>
  <c r="AC72" i="6" s="1"/>
  <c r="AC124" i="6"/>
  <c r="AC144" i="6"/>
  <c r="AC36" i="6"/>
  <c r="AC43" i="6"/>
  <c r="AC98" i="6"/>
  <c r="AC172" i="6"/>
  <c r="AC184" i="6"/>
  <c r="AC23" i="6"/>
  <c r="AC49" i="6"/>
  <c r="AC158" i="6"/>
  <c r="AC174" i="6"/>
  <c r="AC182" i="6"/>
  <c r="AC80" i="6"/>
  <c r="AC118" i="6"/>
  <c r="AC142" i="6"/>
  <c r="AC160" i="6"/>
  <c r="AC33" i="6"/>
  <c r="AB20" i="6"/>
  <c r="AB25" i="6" s="1"/>
  <c r="AF72" i="6" l="1"/>
  <c r="AC25" i="6"/>
  <c r="AE53" i="6"/>
  <c r="AF53" i="6" s="1"/>
  <c r="AB127" i="6"/>
  <c r="AC127" i="6" s="1"/>
  <c r="AB51" i="6"/>
  <c r="AC51" i="6" s="1"/>
  <c r="AC20" i="6"/>
  <c r="AE129" i="6" l="1"/>
  <c r="AF129" i="6" s="1"/>
  <c r="AB53" i="6"/>
  <c r="AC53" i="6" s="1"/>
  <c r="AE146" i="6" l="1"/>
  <c r="AE162" i="6" s="1"/>
  <c r="AB129" i="6"/>
  <c r="AC129" i="6" s="1"/>
  <c r="AF146" i="6" l="1"/>
  <c r="AE176" i="6"/>
  <c r="AE186" i="6" s="1"/>
  <c r="AF162" i="6"/>
  <c r="AB146" i="6"/>
  <c r="AC146" i="6" s="1"/>
  <c r="AB162" i="6" l="1"/>
  <c r="AB176" i="6" s="1"/>
  <c r="AF186" i="6"/>
  <c r="AF176" i="6"/>
  <c r="AC162" i="6" l="1"/>
  <c r="AB186" i="6"/>
  <c r="AC176" i="6"/>
  <c r="AC186" i="6" l="1"/>
  <c r="AB189" i="6"/>
  <c r="D12" i="8"/>
  <c r="C12" i="8"/>
  <c r="E12" i="8"/>
  <c r="Z88" i="6"/>
  <c r="Z158" i="6"/>
  <c r="Z160" i="6" s="1"/>
  <c r="Z142" i="6"/>
  <c r="Z144" i="6" s="1"/>
  <c r="Z124" i="6"/>
  <c r="Z118" i="6"/>
  <c r="V118" i="6"/>
  <c r="Z95" i="6"/>
  <c r="Z98" i="6" s="1"/>
  <c r="Y94" i="6"/>
  <c r="Z65" i="6"/>
  <c r="Z59" i="6"/>
  <c r="Z45" i="6"/>
  <c r="Z49" i="6" s="1"/>
  <c r="Z39" i="6"/>
  <c r="Z43" i="6" s="1"/>
  <c r="Z31" i="6"/>
  <c r="Z30" i="6"/>
  <c r="Z14" i="6"/>
  <c r="Z12" i="6"/>
  <c r="Z197" i="6"/>
  <c r="Z182" i="6"/>
  <c r="Z184" i="6" s="1"/>
  <c r="Z172" i="6"/>
  <c r="Z174" i="6" s="1"/>
  <c r="Z101" i="6"/>
  <c r="Z80" i="6"/>
  <c r="Z75" i="6"/>
  <c r="Z36" i="6"/>
  <c r="Z23" i="6"/>
  <c r="Z9" i="6"/>
  <c r="Z33" i="6" l="1"/>
  <c r="AA33" i="6" s="1"/>
  <c r="Z72" i="6"/>
  <c r="AA72" i="6" s="1"/>
  <c r="AA23" i="6"/>
  <c r="AA101" i="6"/>
  <c r="AA182" i="6"/>
  <c r="AA158" i="6"/>
  <c r="AA98" i="6"/>
  <c r="Z20" i="6"/>
  <c r="Z25" i="6" s="1"/>
  <c r="AA25" i="6" s="1"/>
  <c r="AA43" i="6"/>
  <c r="AA172" i="6"/>
  <c r="AA49" i="6"/>
  <c r="AA174" i="6"/>
  <c r="AA75" i="6"/>
  <c r="AA184" i="6"/>
  <c r="AA80" i="6"/>
  <c r="AA118" i="6"/>
  <c r="AA142" i="6"/>
  <c r="AA160" i="6"/>
  <c r="AA36" i="6"/>
  <c r="AA88" i="6"/>
  <c r="AA124" i="6"/>
  <c r="AA144" i="6"/>
  <c r="X158" i="6"/>
  <c r="X72" i="6"/>
  <c r="X80" i="6"/>
  <c r="X88" i="6"/>
  <c r="X43" i="6"/>
  <c r="X36" i="6"/>
  <c r="X33" i="6"/>
  <c r="X20" i="6"/>
  <c r="V142" i="6"/>
  <c r="V124" i="6"/>
  <c r="V88" i="6"/>
  <c r="V80" i="6"/>
  <c r="V75" i="6"/>
  <c r="V43" i="6"/>
  <c r="V36" i="6"/>
  <c r="G197" i="6"/>
  <c r="N197" i="6"/>
  <c r="R197" i="6"/>
  <c r="J197" i="6"/>
  <c r="N98" i="6"/>
  <c r="N45" i="6"/>
  <c r="N49" i="6" s="1"/>
  <c r="V144" i="6" l="1"/>
  <c r="Z127" i="6"/>
  <c r="AA127" i="6" s="1"/>
  <c r="AA20" i="6"/>
  <c r="Z51" i="6"/>
  <c r="AA51" i="6" s="1"/>
  <c r="G118" i="6"/>
  <c r="X75" i="6"/>
  <c r="U75" i="6"/>
  <c r="T75" i="6"/>
  <c r="R75" i="6"/>
  <c r="N75" i="6"/>
  <c r="G75" i="6"/>
  <c r="U98" i="6"/>
  <c r="U88" i="6"/>
  <c r="G88" i="6"/>
  <c r="U80" i="6"/>
  <c r="T80" i="6"/>
  <c r="R80" i="6"/>
  <c r="N80" i="6"/>
  <c r="G80" i="6"/>
  <c r="X49" i="6"/>
  <c r="X51" i="6" s="1"/>
  <c r="G43" i="6"/>
  <c r="G36" i="6"/>
  <c r="U197" i="6"/>
  <c r="V30" i="6"/>
  <c r="V22" i="6"/>
  <c r="V14" i="6"/>
  <c r="Z53" i="6" l="1"/>
  <c r="AA53" i="6" s="1"/>
  <c r="L76" i="7"/>
  <c r="L43" i="7"/>
  <c r="L16" i="7"/>
  <c r="L57" i="7"/>
  <c r="Z129" i="6" l="1"/>
  <c r="AA129" i="6" s="1"/>
  <c r="G58" i="7"/>
  <c r="K58" i="7" s="1"/>
  <c r="G57" i="7"/>
  <c r="G59" i="7" s="1"/>
  <c r="G56" i="7"/>
  <c r="K56" i="7" s="1"/>
  <c r="I47" i="7"/>
  <c r="I48" i="7"/>
  <c r="I49" i="7"/>
  <c r="H49" i="7"/>
  <c r="H48" i="7"/>
  <c r="H47" i="7"/>
  <c r="K49" i="7"/>
  <c r="G51" i="7"/>
  <c r="K51" i="7" s="1"/>
  <c r="G49" i="7"/>
  <c r="G48" i="7"/>
  <c r="K48" i="7" s="1"/>
  <c r="G47" i="7"/>
  <c r="G31" i="7"/>
  <c r="L62" i="7"/>
  <c r="L69" i="7"/>
  <c r="I69" i="7"/>
  <c r="Z146" i="6" l="1"/>
  <c r="AA146" i="6" s="1"/>
  <c r="G52" i="7"/>
  <c r="K47" i="7"/>
  <c r="K57" i="7"/>
  <c r="K59" i="7" s="1"/>
  <c r="L49" i="7"/>
  <c r="Z162" i="6" l="1"/>
  <c r="Z176" i="6" s="1"/>
  <c r="K52" i="7"/>
  <c r="AA162" i="6" l="1"/>
  <c r="Z186" i="6"/>
  <c r="AA176" i="6"/>
  <c r="I81" i="7"/>
  <c r="H81" i="7"/>
  <c r="L80" i="7"/>
  <c r="L81" i="7"/>
  <c r="L41" i="7"/>
  <c r="L74" i="7"/>
  <c r="L72" i="7"/>
  <c r="L67" i="7"/>
  <c r="L58" i="7"/>
  <c r="L54" i="7"/>
  <c r="K81" i="7"/>
  <c r="K76" i="7"/>
  <c r="K74" i="7"/>
  <c r="K72" i="7"/>
  <c r="K69" i="7"/>
  <c r="K67" i="7"/>
  <c r="K63" i="7"/>
  <c r="K61" i="7"/>
  <c r="K54" i="7"/>
  <c r="K22" i="7"/>
  <c r="L46" i="7"/>
  <c r="I20" i="7"/>
  <c r="I76" i="7"/>
  <c r="L29" i="7"/>
  <c r="L27" i="7"/>
  <c r="L26" i="7"/>
  <c r="I40" i="7"/>
  <c r="I41" i="7" s="1"/>
  <c r="I66" i="7"/>
  <c r="I70" i="7" s="1"/>
  <c r="I62" i="7"/>
  <c r="I64" i="7" s="1"/>
  <c r="I57" i="7"/>
  <c r="I56" i="7"/>
  <c r="I51" i="7"/>
  <c r="I46" i="7"/>
  <c r="I35" i="7"/>
  <c r="I33" i="7"/>
  <c r="I27" i="7"/>
  <c r="I26" i="7"/>
  <c r="I16" i="7"/>
  <c r="H76" i="7"/>
  <c r="H51" i="7"/>
  <c r="L51" i="7" s="1"/>
  <c r="H20" i="7"/>
  <c r="H66" i="7"/>
  <c r="H70" i="7" s="1"/>
  <c r="H62" i="7"/>
  <c r="H64" i="7" s="1"/>
  <c r="H57" i="7"/>
  <c r="H56" i="7"/>
  <c r="L56" i="7" s="1"/>
  <c r="H46" i="7"/>
  <c r="H35" i="7"/>
  <c r="L35" i="7" s="1"/>
  <c r="H33" i="7"/>
  <c r="L33" i="7" s="1"/>
  <c r="H27" i="7"/>
  <c r="H26" i="7"/>
  <c r="H16" i="7"/>
  <c r="L31" i="7" l="1"/>
  <c r="Z189" i="6"/>
  <c r="AA186" i="6"/>
  <c r="K31" i="7"/>
  <c r="L52" i="7"/>
  <c r="L59" i="7"/>
  <c r="L66" i="7"/>
  <c r="L70" i="7" s="1"/>
  <c r="L64" i="7"/>
  <c r="I31" i="7"/>
  <c r="I52" i="7"/>
  <c r="I59" i="7"/>
  <c r="H31" i="7"/>
  <c r="H59" i="7"/>
  <c r="H52" i="7"/>
  <c r="L85" i="7" l="1"/>
  <c r="H85" i="7"/>
  <c r="I85" i="7"/>
  <c r="G68" i="7"/>
  <c r="K68" i="7" s="1"/>
  <c r="G66" i="7"/>
  <c r="K66" i="7" s="1"/>
  <c r="G35" i="7"/>
  <c r="G33" i="7"/>
  <c r="G16" i="7"/>
  <c r="G20" i="7"/>
  <c r="G62" i="7"/>
  <c r="K20" i="7" l="1"/>
  <c r="K16" i="7"/>
  <c r="K33" i="7"/>
  <c r="K35" i="7"/>
  <c r="G64" i="7"/>
  <c r="K62" i="7"/>
  <c r="K64" i="7" s="1"/>
  <c r="K70" i="7"/>
  <c r="G70" i="7"/>
  <c r="K85" i="7" l="1"/>
  <c r="G85" i="7"/>
  <c r="X160" i="6" l="1"/>
  <c r="X142" i="6"/>
  <c r="X144" i="6" s="1"/>
  <c r="Y157" i="6"/>
  <c r="Y156" i="6"/>
  <c r="Y155" i="6"/>
  <c r="Y154" i="6"/>
  <c r="Y153" i="6"/>
  <c r="Y152" i="6"/>
  <c r="Y139" i="6"/>
  <c r="Y138" i="6"/>
  <c r="Y137" i="6"/>
  <c r="Y136" i="6"/>
  <c r="Y135" i="6"/>
  <c r="Y134" i="6"/>
  <c r="Y123" i="6"/>
  <c r="Y122" i="6"/>
  <c r="Y121" i="6"/>
  <c r="Y120" i="6"/>
  <c r="Y116" i="6"/>
  <c r="Y114" i="6"/>
  <c r="Y113" i="6"/>
  <c r="Y112" i="6"/>
  <c r="Y111" i="6"/>
  <c r="Y110" i="6"/>
  <c r="Y109" i="6"/>
  <c r="Y108" i="6"/>
  <c r="Y106" i="6"/>
  <c r="Y105" i="6"/>
  <c r="Y104" i="6"/>
  <c r="Y103" i="6"/>
  <c r="Y100" i="6"/>
  <c r="Y93" i="6"/>
  <c r="Y92" i="6"/>
  <c r="Y83" i="6"/>
  <c r="Y91" i="6"/>
  <c r="Y87" i="6"/>
  <c r="Y86" i="6"/>
  <c r="Y85" i="6"/>
  <c r="Y84" i="6"/>
  <c r="Y82" i="6"/>
  <c r="Y79" i="6"/>
  <c r="Y78" i="6"/>
  <c r="Y74" i="6"/>
  <c r="Y75" i="6" s="1"/>
  <c r="Y67" i="6"/>
  <c r="Y66" i="6"/>
  <c r="Y65" i="6"/>
  <c r="Y64" i="6"/>
  <c r="Y63" i="6"/>
  <c r="Y62" i="6"/>
  <c r="Y61" i="6"/>
  <c r="Y60" i="6"/>
  <c r="Y59" i="6"/>
  <c r="Y45" i="6"/>
  <c r="Y49" i="6" s="1"/>
  <c r="Y40" i="6"/>
  <c r="Y39" i="6"/>
  <c r="Y38" i="6"/>
  <c r="Y35" i="6"/>
  <c r="Y36" i="6" s="1"/>
  <c r="Y31" i="6"/>
  <c r="Y30" i="6"/>
  <c r="Y22" i="6"/>
  <c r="Y23" i="6" s="1"/>
  <c r="Y17" i="6"/>
  <c r="Y16" i="6"/>
  <c r="Y15" i="6"/>
  <c r="Y14" i="6"/>
  <c r="Y13" i="6"/>
  <c r="Y12" i="6"/>
  <c r="Y11" i="6"/>
  <c r="Y8" i="6"/>
  <c r="Y9" i="6" s="1"/>
  <c r="Y182" i="6"/>
  <c r="Y184" i="6" s="1"/>
  <c r="Y172" i="6"/>
  <c r="Y174" i="6" s="1"/>
  <c r="Y101" i="6"/>
  <c r="X124" i="6"/>
  <c r="Q193" i="6"/>
  <c r="Q192" i="6"/>
  <c r="X182" i="6"/>
  <c r="X184" i="6" s="1"/>
  <c r="V182" i="6"/>
  <c r="U182" i="6"/>
  <c r="U184" i="6" s="1"/>
  <c r="T182" i="6"/>
  <c r="T184" i="6" s="1"/>
  <c r="R182" i="6"/>
  <c r="R184" i="6" s="1"/>
  <c r="Q182" i="6"/>
  <c r="Q184" i="6" s="1"/>
  <c r="P182" i="6"/>
  <c r="P184" i="6" s="1"/>
  <c r="N182" i="6"/>
  <c r="N184" i="6" s="1"/>
  <c r="M182" i="6"/>
  <c r="M184" i="6" s="1"/>
  <c r="L182" i="6"/>
  <c r="L184" i="6" s="1"/>
  <c r="J182" i="6"/>
  <c r="J184" i="6" s="1"/>
  <c r="I182" i="6"/>
  <c r="I184" i="6" s="1"/>
  <c r="G182" i="6"/>
  <c r="G184" i="6" s="1"/>
  <c r="F182" i="6"/>
  <c r="F184" i="6" s="1"/>
  <c r="I174" i="6"/>
  <c r="X172" i="6"/>
  <c r="X174" i="6" s="1"/>
  <c r="V172" i="6"/>
  <c r="U172" i="6"/>
  <c r="U174" i="6" s="1"/>
  <c r="T172" i="6"/>
  <c r="T174" i="6" s="1"/>
  <c r="R172" i="6"/>
  <c r="R174" i="6" s="1"/>
  <c r="Q172" i="6"/>
  <c r="Q174" i="6" s="1"/>
  <c r="P172" i="6"/>
  <c r="P174" i="6" s="1"/>
  <c r="N172" i="6"/>
  <c r="N174" i="6" s="1"/>
  <c r="M172" i="6"/>
  <c r="M174" i="6" s="1"/>
  <c r="L172" i="6"/>
  <c r="L174" i="6" s="1"/>
  <c r="J172" i="6"/>
  <c r="J174" i="6" s="1"/>
  <c r="G172" i="6"/>
  <c r="G174" i="6" s="1"/>
  <c r="F172" i="6"/>
  <c r="F174" i="6" s="1"/>
  <c r="V158" i="6"/>
  <c r="U158" i="6"/>
  <c r="U160" i="6" s="1"/>
  <c r="T158" i="6"/>
  <c r="T160" i="6" s="1"/>
  <c r="R158" i="6"/>
  <c r="R160" i="6" s="1"/>
  <c r="Q158" i="6"/>
  <c r="Q160" i="6" s="1"/>
  <c r="P158" i="6"/>
  <c r="P160" i="6" s="1"/>
  <c r="N158" i="6"/>
  <c r="N160" i="6" s="1"/>
  <c r="M158" i="6"/>
  <c r="M160" i="6" s="1"/>
  <c r="L158" i="6"/>
  <c r="L160" i="6" s="1"/>
  <c r="J158" i="6"/>
  <c r="J160" i="6" s="1"/>
  <c r="I158" i="6"/>
  <c r="I160" i="6" s="1"/>
  <c r="G151" i="6"/>
  <c r="G158" i="6" s="1"/>
  <c r="G160" i="6" s="1"/>
  <c r="F151" i="6"/>
  <c r="F158" i="6" s="1"/>
  <c r="F160" i="6" s="1"/>
  <c r="F162" i="6" s="1"/>
  <c r="U142" i="6"/>
  <c r="U144" i="6" s="1"/>
  <c r="T142" i="6"/>
  <c r="T144" i="6" s="1"/>
  <c r="R142" i="6"/>
  <c r="R144" i="6" s="1"/>
  <c r="Q142" i="6"/>
  <c r="Q144" i="6" s="1"/>
  <c r="P142" i="6"/>
  <c r="P144" i="6" s="1"/>
  <c r="N142" i="6"/>
  <c r="N144" i="6" s="1"/>
  <c r="M142" i="6"/>
  <c r="M144" i="6" s="1"/>
  <c r="L142" i="6"/>
  <c r="L144" i="6" s="1"/>
  <c r="J142" i="6"/>
  <c r="J144" i="6" s="1"/>
  <c r="I142" i="6"/>
  <c r="I144" i="6" s="1"/>
  <c r="G142" i="6"/>
  <c r="G144" i="6" s="1"/>
  <c r="F142" i="6"/>
  <c r="F144" i="6" s="1"/>
  <c r="U124" i="6"/>
  <c r="T124" i="6"/>
  <c r="R124" i="6"/>
  <c r="Q124" i="6"/>
  <c r="P124" i="6"/>
  <c r="M124" i="6"/>
  <c r="L124" i="6"/>
  <c r="I124" i="6"/>
  <c r="N122" i="6"/>
  <c r="N124" i="6" s="1"/>
  <c r="J122" i="6"/>
  <c r="J124" i="6" s="1"/>
  <c r="G122" i="6"/>
  <c r="G124" i="6" s="1"/>
  <c r="F122" i="6"/>
  <c r="F124" i="6" s="1"/>
  <c r="U118" i="6"/>
  <c r="R118" i="6"/>
  <c r="Q118" i="6"/>
  <c r="P118" i="6"/>
  <c r="N118" i="6"/>
  <c r="M118" i="6"/>
  <c r="L118" i="6"/>
  <c r="I118" i="6"/>
  <c r="F118" i="6"/>
  <c r="T113" i="6"/>
  <c r="T118" i="6" s="1"/>
  <c r="X107" i="6"/>
  <c r="X101" i="6"/>
  <c r="V101" i="6"/>
  <c r="U101" i="6"/>
  <c r="T101" i="6"/>
  <c r="R101" i="6"/>
  <c r="Q101" i="6"/>
  <c r="P101" i="6"/>
  <c r="N101" i="6"/>
  <c r="M101" i="6"/>
  <c r="L101" i="6"/>
  <c r="I101" i="6"/>
  <c r="G101" i="6"/>
  <c r="F101" i="6"/>
  <c r="R98" i="6"/>
  <c r="Q98" i="6"/>
  <c r="P98" i="6"/>
  <c r="X95" i="6"/>
  <c r="X98" i="6" s="1"/>
  <c r="V95" i="6"/>
  <c r="M93" i="6"/>
  <c r="G92" i="6"/>
  <c r="F92" i="6"/>
  <c r="T83" i="6"/>
  <c r="T98" i="6" s="1"/>
  <c r="I83" i="6"/>
  <c r="I88" i="6" s="1"/>
  <c r="G91" i="6"/>
  <c r="F90" i="6"/>
  <c r="Q88" i="6"/>
  <c r="P88" i="6"/>
  <c r="M88" i="6"/>
  <c r="L88" i="6"/>
  <c r="F88" i="6"/>
  <c r="T84" i="6"/>
  <c r="R84" i="6"/>
  <c r="R88" i="6" s="1"/>
  <c r="N84" i="6"/>
  <c r="N88" i="6" s="1"/>
  <c r="T82" i="6"/>
  <c r="Q80" i="6"/>
  <c r="P80" i="6"/>
  <c r="M80" i="6"/>
  <c r="L80" i="6"/>
  <c r="I80" i="6"/>
  <c r="F80" i="6"/>
  <c r="Q75" i="6"/>
  <c r="P75" i="6"/>
  <c r="M75" i="6"/>
  <c r="L75" i="6"/>
  <c r="F75" i="6"/>
  <c r="I74" i="6"/>
  <c r="I75" i="6" s="1"/>
  <c r="L72" i="6"/>
  <c r="I72" i="6"/>
  <c r="P71" i="6"/>
  <c r="T65" i="6"/>
  <c r="Q65" i="6"/>
  <c r="N65" i="6"/>
  <c r="G65" i="6"/>
  <c r="F65" i="6"/>
  <c r="T64" i="6"/>
  <c r="T63" i="6"/>
  <c r="T62" i="6"/>
  <c r="P62" i="6"/>
  <c r="T61" i="6"/>
  <c r="P61" i="6"/>
  <c r="V59" i="6"/>
  <c r="U59" i="6"/>
  <c r="U72" i="6" s="1"/>
  <c r="R59" i="6"/>
  <c r="R72" i="6" s="1"/>
  <c r="Q59" i="6"/>
  <c r="N59" i="6"/>
  <c r="M59" i="6"/>
  <c r="J59" i="6"/>
  <c r="J72" i="6" s="1"/>
  <c r="G59" i="6"/>
  <c r="F59" i="6"/>
  <c r="P49" i="6"/>
  <c r="L49" i="6"/>
  <c r="I49" i="6"/>
  <c r="V45" i="6"/>
  <c r="U45" i="6"/>
  <c r="U49" i="6" s="1"/>
  <c r="T45" i="6"/>
  <c r="T49" i="6" s="1"/>
  <c r="R45" i="6"/>
  <c r="R49" i="6" s="1"/>
  <c r="Q45" i="6"/>
  <c r="Q49" i="6" s="1"/>
  <c r="M45" i="6"/>
  <c r="J45" i="6"/>
  <c r="J49" i="6" s="1"/>
  <c r="G45" i="6"/>
  <c r="G49" i="6" s="1"/>
  <c r="F45" i="6"/>
  <c r="F49" i="6" s="1"/>
  <c r="U43" i="6"/>
  <c r="T43" i="6"/>
  <c r="R43" i="6"/>
  <c r="P43" i="6"/>
  <c r="L43" i="6"/>
  <c r="I43" i="6"/>
  <c r="F43" i="6"/>
  <c r="Q41" i="6"/>
  <c r="Q43" i="6" s="1"/>
  <c r="J41" i="6"/>
  <c r="J43" i="6" s="1"/>
  <c r="N39" i="6"/>
  <c r="N43" i="6" s="1"/>
  <c r="M39" i="6"/>
  <c r="U36" i="6"/>
  <c r="T36" i="6"/>
  <c r="R36" i="6"/>
  <c r="Q36" i="6"/>
  <c r="P36" i="6"/>
  <c r="N36" i="6"/>
  <c r="M36" i="6"/>
  <c r="L36" i="6"/>
  <c r="I36" i="6"/>
  <c r="F36" i="6"/>
  <c r="P33" i="6"/>
  <c r="L33" i="6"/>
  <c r="I33" i="6"/>
  <c r="V31" i="6"/>
  <c r="U31" i="6"/>
  <c r="T31" i="6"/>
  <c r="R31" i="6"/>
  <c r="Q31" i="6"/>
  <c r="N31" i="6"/>
  <c r="M31" i="6"/>
  <c r="J31" i="6"/>
  <c r="U30" i="6"/>
  <c r="T30" i="6"/>
  <c r="R30" i="6"/>
  <c r="Q30" i="6"/>
  <c r="N30" i="6"/>
  <c r="M30" i="6"/>
  <c r="J30" i="6"/>
  <c r="G30" i="6"/>
  <c r="G33" i="6" s="1"/>
  <c r="F30" i="6"/>
  <c r="F33" i="6" s="1"/>
  <c r="X23" i="6"/>
  <c r="V23" i="6"/>
  <c r="U23" i="6"/>
  <c r="R23" i="6"/>
  <c r="Q23" i="6"/>
  <c r="P23" i="6"/>
  <c r="N23" i="6"/>
  <c r="L23" i="6"/>
  <c r="I23" i="6"/>
  <c r="G23" i="6"/>
  <c r="F23" i="6"/>
  <c r="T22" i="6"/>
  <c r="T23" i="6" s="1"/>
  <c r="M22" i="6"/>
  <c r="P20" i="6"/>
  <c r="L20" i="6"/>
  <c r="I20" i="6"/>
  <c r="V16" i="6"/>
  <c r="T16" i="6"/>
  <c r="R16" i="6"/>
  <c r="Q16" i="6"/>
  <c r="M16" i="6"/>
  <c r="U15" i="6"/>
  <c r="U14" i="6"/>
  <c r="T14" i="6"/>
  <c r="R14" i="6"/>
  <c r="Q14" i="6"/>
  <c r="M14" i="6"/>
  <c r="J14" i="6"/>
  <c r="G14" i="6"/>
  <c r="G20" i="6" s="1"/>
  <c r="F14" i="6"/>
  <c r="F20" i="6" s="1"/>
  <c r="V12" i="6"/>
  <c r="U12" i="6"/>
  <c r="T12" i="6"/>
  <c r="R12" i="6"/>
  <c r="Q12" i="6"/>
  <c r="M12" i="6"/>
  <c r="J12" i="6"/>
  <c r="X9" i="6"/>
  <c r="V9" i="6"/>
  <c r="U9" i="6"/>
  <c r="T9" i="6"/>
  <c r="R9" i="6"/>
  <c r="Q9" i="6"/>
  <c r="P9" i="6"/>
  <c r="N9" i="6"/>
  <c r="M9" i="6"/>
  <c r="I9" i="6"/>
  <c r="G9" i="6"/>
  <c r="F9" i="6"/>
  <c r="J8" i="6"/>
  <c r="J9" i="6" s="1"/>
  <c r="M72" i="6" l="1"/>
  <c r="H23" i="6"/>
  <c r="H20" i="6"/>
  <c r="N72" i="6"/>
  <c r="O72" i="6" s="1"/>
  <c r="T88" i="6"/>
  <c r="F176" i="6"/>
  <c r="J33" i="6"/>
  <c r="J51" i="6" s="1"/>
  <c r="K51" i="6" s="1"/>
  <c r="G51" i="6"/>
  <c r="H51" i="6" s="1"/>
  <c r="J20" i="6"/>
  <c r="J25" i="6" s="1"/>
  <c r="J98" i="6"/>
  <c r="V160" i="6"/>
  <c r="V72" i="6"/>
  <c r="W72" i="6" s="1"/>
  <c r="V98" i="6"/>
  <c r="V174" i="6"/>
  <c r="V33" i="6"/>
  <c r="W33" i="6" s="1"/>
  <c r="V49" i="6"/>
  <c r="W49" i="6" s="1"/>
  <c r="V184" i="6"/>
  <c r="V20" i="6"/>
  <c r="I25" i="6"/>
  <c r="T33" i="6"/>
  <c r="T51" i="6" s="1"/>
  <c r="Q197" i="6"/>
  <c r="O184" i="6"/>
  <c r="O172" i="6"/>
  <c r="O98" i="6"/>
  <c r="O43" i="6"/>
  <c r="O158" i="6"/>
  <c r="O75" i="6"/>
  <c r="O23" i="6"/>
  <c r="O182" i="6"/>
  <c r="O144" i="6"/>
  <c r="O124" i="6"/>
  <c r="O88" i="6"/>
  <c r="O36" i="6"/>
  <c r="O49" i="6"/>
  <c r="O160" i="6"/>
  <c r="O142" i="6"/>
  <c r="O118" i="6"/>
  <c r="O80" i="6"/>
  <c r="O174" i="6"/>
  <c r="O101" i="6"/>
  <c r="H174" i="6"/>
  <c r="H158" i="6"/>
  <c r="H101" i="6"/>
  <c r="H75" i="6"/>
  <c r="H49" i="6"/>
  <c r="H184" i="6"/>
  <c r="H172" i="6"/>
  <c r="H43" i="6"/>
  <c r="H142" i="6"/>
  <c r="H80" i="6"/>
  <c r="H182" i="6"/>
  <c r="H144" i="6"/>
  <c r="H124" i="6"/>
  <c r="H88" i="6"/>
  <c r="H36" i="6"/>
  <c r="H160" i="6"/>
  <c r="H118" i="6"/>
  <c r="H33" i="6"/>
  <c r="K184" i="6"/>
  <c r="K172" i="6"/>
  <c r="K72" i="6"/>
  <c r="K43" i="6"/>
  <c r="K23" i="6"/>
  <c r="K174" i="6"/>
  <c r="K101" i="6"/>
  <c r="K182" i="6"/>
  <c r="K144" i="6"/>
  <c r="K124" i="6"/>
  <c r="K88" i="6"/>
  <c r="K36" i="6"/>
  <c r="K158" i="6"/>
  <c r="K75" i="6"/>
  <c r="K160" i="6"/>
  <c r="K142" i="6"/>
  <c r="K118" i="6"/>
  <c r="K80" i="6"/>
  <c r="K49" i="6"/>
  <c r="W158" i="6"/>
  <c r="W75" i="6"/>
  <c r="W36" i="6"/>
  <c r="W174" i="6"/>
  <c r="W124" i="6"/>
  <c r="W88" i="6"/>
  <c r="W23" i="6"/>
  <c r="W43" i="6"/>
  <c r="W182" i="6"/>
  <c r="W101" i="6"/>
  <c r="W172" i="6"/>
  <c r="W144" i="6"/>
  <c r="W118" i="6"/>
  <c r="W80" i="6"/>
  <c r="W142" i="6"/>
  <c r="S160" i="6"/>
  <c r="S142" i="6"/>
  <c r="S118" i="6"/>
  <c r="S80" i="6"/>
  <c r="S88" i="6"/>
  <c r="S36" i="6"/>
  <c r="S174" i="6"/>
  <c r="S158" i="6"/>
  <c r="S101" i="6"/>
  <c r="S75" i="6"/>
  <c r="S49" i="6"/>
  <c r="S144" i="6"/>
  <c r="S184" i="6"/>
  <c r="S172" i="6"/>
  <c r="S98" i="6"/>
  <c r="S72" i="6"/>
  <c r="S43" i="6"/>
  <c r="S23" i="6"/>
  <c r="S182" i="6"/>
  <c r="S124" i="6"/>
  <c r="N33" i="6"/>
  <c r="O33" i="6" s="1"/>
  <c r="G25" i="6"/>
  <c r="H25" i="6" s="1"/>
  <c r="G72" i="6"/>
  <c r="H72" i="6" s="1"/>
  <c r="T72" i="6"/>
  <c r="X25" i="6"/>
  <c r="X53" i="6" s="1"/>
  <c r="U33" i="6"/>
  <c r="U51" i="6" s="1"/>
  <c r="Y33" i="6"/>
  <c r="Y43" i="6"/>
  <c r="Y142" i="6"/>
  <c r="Y144" i="6" s="1"/>
  <c r="F72" i="6"/>
  <c r="T20" i="6"/>
  <c r="T25" i="6" s="1"/>
  <c r="Y124" i="6"/>
  <c r="M23" i="6"/>
  <c r="Y95" i="6"/>
  <c r="Y98" i="6" s="1"/>
  <c r="Y107" i="6"/>
  <c r="Y118" i="6" s="1"/>
  <c r="Y158" i="6"/>
  <c r="Y160" i="6" s="1"/>
  <c r="Y20" i="6"/>
  <c r="Y25" i="6" s="1"/>
  <c r="Y72" i="6"/>
  <c r="Y80" i="6"/>
  <c r="Y88" i="6"/>
  <c r="Q20" i="6"/>
  <c r="Q25" i="6" s="1"/>
  <c r="Q72" i="6"/>
  <c r="Q127" i="6" s="1"/>
  <c r="N20" i="6"/>
  <c r="N25" i="6" s="1"/>
  <c r="O25" i="6" s="1"/>
  <c r="P59" i="6"/>
  <c r="P72" i="6" s="1"/>
  <c r="P127" i="6" s="1"/>
  <c r="M98" i="6"/>
  <c r="M127" i="6" s="1"/>
  <c r="F25" i="6"/>
  <c r="R33" i="6"/>
  <c r="S33" i="6" s="1"/>
  <c r="R20" i="6"/>
  <c r="R25" i="6" s="1"/>
  <c r="S25" i="6" s="1"/>
  <c r="L25" i="6"/>
  <c r="M33" i="6"/>
  <c r="L51" i="6"/>
  <c r="Q33" i="6"/>
  <c r="Q51" i="6" s="1"/>
  <c r="F51" i="6"/>
  <c r="P51" i="6"/>
  <c r="P25" i="6"/>
  <c r="U20" i="6"/>
  <c r="U25" i="6" s="1"/>
  <c r="I51" i="6"/>
  <c r="M43" i="6"/>
  <c r="M49" i="6"/>
  <c r="R127" i="6"/>
  <c r="S127" i="6" s="1"/>
  <c r="M20" i="6"/>
  <c r="U127" i="6"/>
  <c r="T127" i="6" l="1"/>
  <c r="N127" i="6"/>
  <c r="O127" i="6" s="1"/>
  <c r="K33" i="6"/>
  <c r="W184" i="6"/>
  <c r="W160" i="6"/>
  <c r="G53" i="6"/>
  <c r="H53" i="6" s="1"/>
  <c r="J53" i="6"/>
  <c r="K53" i="6" s="1"/>
  <c r="V25" i="6"/>
  <c r="W98" i="6"/>
  <c r="J127" i="6"/>
  <c r="K98" i="6"/>
  <c r="V127" i="6"/>
  <c r="W127" i="6" s="1"/>
  <c r="W20" i="6"/>
  <c r="I53" i="6"/>
  <c r="V51" i="6"/>
  <c r="X118" i="6"/>
  <c r="X127" i="6" s="1"/>
  <c r="O20" i="6"/>
  <c r="S20" i="6"/>
  <c r="K20" i="6"/>
  <c r="K25" i="6"/>
  <c r="Y51" i="6"/>
  <c r="Y53" i="6" s="1"/>
  <c r="Q53" i="6"/>
  <c r="Q129" i="6" s="1"/>
  <c r="U53" i="6"/>
  <c r="R51" i="6"/>
  <c r="M25" i="6"/>
  <c r="Y127" i="6"/>
  <c r="F53" i="6"/>
  <c r="L53" i="6"/>
  <c r="M51" i="6"/>
  <c r="T53" i="6"/>
  <c r="T129" i="6" s="1"/>
  <c r="T146" i="6" s="1"/>
  <c r="T162" i="6" s="1"/>
  <c r="T176" i="6" s="1"/>
  <c r="T186" i="6" s="1"/>
  <c r="N51" i="6"/>
  <c r="P53" i="6"/>
  <c r="P129" i="6" s="1"/>
  <c r="P186" i="6" s="1"/>
  <c r="V53" i="6" l="1"/>
  <c r="W53" i="6" s="1"/>
  <c r="J129" i="6"/>
  <c r="W25" i="6"/>
  <c r="W51" i="6"/>
  <c r="X129" i="6"/>
  <c r="X146" i="6" s="1"/>
  <c r="X162" i="6" s="1"/>
  <c r="X176" i="6" s="1"/>
  <c r="X186" i="6" s="1"/>
  <c r="R53" i="6"/>
  <c r="S53" i="6" s="1"/>
  <c r="S51" i="6"/>
  <c r="N53" i="6"/>
  <c r="O51" i="6"/>
  <c r="U129" i="6"/>
  <c r="U146" i="6" s="1"/>
  <c r="U162" i="6" s="1"/>
  <c r="U176" i="6" s="1"/>
  <c r="U186" i="6" s="1"/>
  <c r="Y129" i="6"/>
  <c r="Y146" i="6" s="1"/>
  <c r="Y162" i="6" s="1"/>
  <c r="Y176" i="6" s="1"/>
  <c r="Y186" i="6" s="1"/>
  <c r="M53" i="6"/>
  <c r="M129" i="6" s="1"/>
  <c r="M186" i="6" s="1"/>
  <c r="P146" i="6"/>
  <c r="Q186" i="6"/>
  <c r="Q146" i="6"/>
  <c r="V129" i="6" l="1"/>
  <c r="V146" i="6" s="1"/>
  <c r="N129" i="6"/>
  <c r="O53" i="6"/>
  <c r="R129" i="6"/>
  <c r="M146" i="6"/>
  <c r="W129" i="6" l="1"/>
  <c r="W146" i="6"/>
  <c r="V162" i="6"/>
  <c r="N146" i="6"/>
  <c r="O129" i="6"/>
  <c r="R146" i="6"/>
  <c r="S129" i="6"/>
  <c r="W162" i="6" l="1"/>
  <c r="V176" i="6"/>
  <c r="R162" i="6"/>
  <c r="S146" i="6"/>
  <c r="N162" i="6"/>
  <c r="O146" i="6"/>
  <c r="V186" i="6" l="1"/>
  <c r="W186" i="6" s="1"/>
  <c r="W176" i="6"/>
  <c r="N176" i="6"/>
  <c r="O162" i="6"/>
  <c r="R176" i="6"/>
  <c r="S162" i="6"/>
  <c r="V189" i="6" l="1"/>
  <c r="R186" i="6"/>
  <c r="S176" i="6"/>
  <c r="N186" i="6"/>
  <c r="N189" i="6" s="1"/>
  <c r="O176" i="6"/>
  <c r="O186" i="6" l="1"/>
  <c r="S186" i="6"/>
  <c r="R189" i="6"/>
  <c r="G98" i="6" l="1"/>
  <c r="G127" i="6" l="1"/>
  <c r="H98" i="6"/>
  <c r="K127" i="6"/>
  <c r="G129" i="6" l="1"/>
  <c r="H127" i="6"/>
  <c r="J146" i="6"/>
  <c r="K129" i="6"/>
  <c r="G146" i="6" l="1"/>
  <c r="H129" i="6"/>
  <c r="J162" i="6"/>
  <c r="K146" i="6"/>
  <c r="J176" i="6" l="1"/>
  <c r="J186" i="6" s="1"/>
  <c r="K162" i="6"/>
  <c r="G162" i="6"/>
  <c r="H146" i="6"/>
  <c r="K176" i="6" l="1"/>
  <c r="G176" i="6"/>
  <c r="H162" i="6"/>
  <c r="G186" i="6" l="1"/>
  <c r="H176" i="6"/>
  <c r="J189" i="6"/>
  <c r="K186" i="6"/>
  <c r="G189" i="6" l="1"/>
  <c r="H186" i="6"/>
  <c r="L98" i="6" l="1"/>
  <c r="L127" i="6"/>
  <c r="L129" i="6" s="1"/>
  <c r="L186" i="6" s="1"/>
  <c r="I98" i="6"/>
  <c r="I127" i="6" s="1"/>
  <c r="I129" i="6" s="1"/>
  <c r="I186" i="6" s="1"/>
  <c r="F91" i="6" l="1"/>
  <c r="F98" i="6"/>
  <c r="F127" i="6"/>
  <c r="F129" i="6"/>
  <c r="F186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Sandra Schmid</author>
  </authors>
  <commentList>
    <comment ref="F92" authorId="0" shapeId="0" xr:uid="{D75890EF-5F24-495F-8B41-5AB0EE8567C8}">
      <text>
        <r>
          <rPr>
            <b/>
            <sz val="9"/>
            <color indexed="81"/>
            <rFont val="Tahoma"/>
            <family val="2"/>
          </rPr>
          <t>Sandra Schmid:</t>
        </r>
        <r>
          <rPr>
            <sz val="9"/>
            <color indexed="81"/>
            <rFont val="Tahoma"/>
            <family val="2"/>
          </rPr>
          <t xml:space="preserve">
8-12.2018</t>
        </r>
      </text>
    </comment>
    <comment ref="G92" authorId="0" shapeId="0" xr:uid="{A257B252-6638-4EC9-B85B-0CF66B235372}">
      <text>
        <r>
          <rPr>
            <b/>
            <sz val="9"/>
            <color indexed="81"/>
            <rFont val="Tahoma"/>
            <family val="2"/>
          </rPr>
          <t>Sandra Schmid:</t>
        </r>
        <r>
          <rPr>
            <sz val="9"/>
            <color indexed="81"/>
            <rFont val="Tahoma"/>
            <family val="2"/>
          </rPr>
          <t xml:space="preserve">
8-12.2018</t>
        </r>
      </text>
    </comment>
    <comment ref="F122" authorId="0" shapeId="0" xr:uid="{DB3E6487-4821-4D91-822A-4AF7734060E0}">
      <text>
        <r>
          <rPr>
            <b/>
            <sz val="9"/>
            <color indexed="81"/>
            <rFont val="Tahoma"/>
            <family val="2"/>
          </rPr>
          <t>Sandra Schmid:</t>
        </r>
        <r>
          <rPr>
            <sz val="9"/>
            <color indexed="81"/>
            <rFont val="Tahoma"/>
            <family val="2"/>
          </rPr>
          <t xml:space="preserve">
18'452.30 frais salaire Total: 32855.27
</t>
        </r>
      </text>
    </comment>
    <comment ref="G122" authorId="0" shapeId="0" xr:uid="{40BA4095-4AC4-4278-B706-07FCCE01D513}">
      <text>
        <r>
          <rPr>
            <b/>
            <sz val="9"/>
            <color indexed="81"/>
            <rFont val="Tahoma"/>
            <family val="2"/>
          </rPr>
          <t>Sandra Schmid:</t>
        </r>
        <r>
          <rPr>
            <sz val="9"/>
            <color indexed="81"/>
            <rFont val="Tahoma"/>
            <family val="2"/>
          </rPr>
          <t xml:space="preserve">
18'452.30 frais salaire Total: 32855.27
</t>
        </r>
      </text>
    </comment>
  </commentList>
</comments>
</file>

<file path=xl/sharedStrings.xml><?xml version="1.0" encoding="utf-8"?>
<sst xmlns="http://schemas.openxmlformats.org/spreadsheetml/2006/main" count="278" uniqueCount="226">
  <si>
    <t>Bouclement</t>
  </si>
  <si>
    <t>Budget</t>
  </si>
  <si>
    <t>année 2018</t>
  </si>
  <si>
    <t>année 2019</t>
  </si>
  <si>
    <t>PRODUITS DE L'EXPLOITATION</t>
  </si>
  <si>
    <t>Produit de la vente de march. achetées</t>
  </si>
  <si>
    <t>Vente</t>
  </si>
  <si>
    <t>Escomptes et rabais aux clients</t>
  </si>
  <si>
    <t>Frais de cartes de crédits (SumUp/Aduno) &amp; CCP</t>
  </si>
  <si>
    <t>Ristourne clients</t>
  </si>
  <si>
    <t>Revenu de capitaux</t>
  </si>
  <si>
    <t>TOTAL</t>
  </si>
  <si>
    <t>CHARGES DE MATIERES ET MARCHANDISES</t>
  </si>
  <si>
    <t>PRAMV</t>
  </si>
  <si>
    <t>Charges marchandises</t>
  </si>
  <si>
    <t>Charges marchandises non soumises</t>
  </si>
  <si>
    <t>Augmentation/diminution Stock</t>
  </si>
  <si>
    <t>Accessoires utilisés</t>
  </si>
  <si>
    <t>Autres matériaux directement incorporables</t>
  </si>
  <si>
    <t>Frais d'achat</t>
  </si>
  <si>
    <t>Frais de transport national</t>
  </si>
  <si>
    <t>Frais de transport international</t>
  </si>
  <si>
    <t>Frais importations</t>
  </si>
  <si>
    <t>Droits de douane</t>
  </si>
  <si>
    <t xml:space="preserve">Réductions </t>
  </si>
  <si>
    <t>Escomptes créanciers</t>
  </si>
  <si>
    <t>Bénéfice brut</t>
  </si>
  <si>
    <t>CHARGES D'EXPLOITATION</t>
  </si>
  <si>
    <t>Frais de personnel</t>
  </si>
  <si>
    <t>Salaires</t>
  </si>
  <si>
    <t>Personnel interim</t>
  </si>
  <si>
    <t>Commission de perception</t>
  </si>
  <si>
    <t>Loyers</t>
  </si>
  <si>
    <t>Entretien et matériaux d'expoitation</t>
  </si>
  <si>
    <t>Leasing matériel exploitation</t>
  </si>
  <si>
    <t>Entretien machines</t>
  </si>
  <si>
    <t>Entretien des installations</t>
  </si>
  <si>
    <t>Frais de véhicules</t>
  </si>
  <si>
    <t>Leasings et crédits véhicules</t>
  </si>
  <si>
    <t>Carburants</t>
  </si>
  <si>
    <t>Primes d'assurances et taxes</t>
  </si>
  <si>
    <t>Assurance des installations</t>
  </si>
  <si>
    <t>Assurance RC</t>
  </si>
  <si>
    <t>Garantie de loyer pour locaux commerciaux</t>
  </si>
  <si>
    <t>Courant électrique, eau, gaz</t>
  </si>
  <si>
    <t>Electricité</t>
  </si>
  <si>
    <t>Frais de bureau et d'administration</t>
  </si>
  <si>
    <t>Fourniture de bureau</t>
  </si>
  <si>
    <t>Frais de port et de chèques postaux</t>
  </si>
  <si>
    <t>Téléphone et téléfax</t>
  </si>
  <si>
    <t>Frais informatique</t>
  </si>
  <si>
    <t>Frais de consultation juridiques et autres</t>
  </si>
  <si>
    <t>Frais de représentation</t>
  </si>
  <si>
    <t>Publicité et marketing</t>
  </si>
  <si>
    <t>AMORTISSEMENTS</t>
  </si>
  <si>
    <t>Amortis. mobilier</t>
  </si>
  <si>
    <t>Amortis. machines d'exploitation</t>
  </si>
  <si>
    <t>Amortis. outillage</t>
  </si>
  <si>
    <t>Amortis. véhicules</t>
  </si>
  <si>
    <t>Amorits. valeurs incorporelles</t>
  </si>
  <si>
    <t>Amort. goodwill</t>
  </si>
  <si>
    <t>Intérêts sur emprunts</t>
  </si>
  <si>
    <t>Intérêts sur emprunt Raiffeisen</t>
  </si>
  <si>
    <t>Intérêts bancaires</t>
  </si>
  <si>
    <t>Intérêts et frais de retard</t>
  </si>
  <si>
    <t>Frais de caution</t>
  </si>
  <si>
    <t>IMPÔTS</t>
  </si>
  <si>
    <t>Impôts et contributions</t>
  </si>
  <si>
    <t>Impôts bénéfice et capital</t>
  </si>
  <si>
    <t>CHARGES ET PRODUITS EXTRAORDINAIRES</t>
  </si>
  <si>
    <t>Charges et produits extraordinaires</t>
  </si>
  <si>
    <t>Revenus except. sur exercices antérieurs</t>
  </si>
  <si>
    <t>Produits extraordinaires</t>
  </si>
  <si>
    <t>Charges exceptionnelles</t>
  </si>
  <si>
    <t xml:space="preserve">Autres charges </t>
  </si>
  <si>
    <t>Autres produits</t>
  </si>
  <si>
    <t>Bénéfice NET</t>
  </si>
  <si>
    <t>année 2020</t>
  </si>
  <si>
    <t>Provision pour pertes s/débiteurs</t>
  </si>
  <si>
    <t>Pertes/gains sur change</t>
  </si>
  <si>
    <t>Honoraires architectes</t>
  </si>
  <si>
    <t>au 30.09.2020</t>
  </si>
  <si>
    <t>Ristourne créanciers</t>
  </si>
  <si>
    <t>Indemnités d'assurances / RHT</t>
  </si>
  <si>
    <t>Assurances</t>
  </si>
  <si>
    <t>Taxes diverses</t>
  </si>
  <si>
    <t>Frais informatique project non réalisés</t>
  </si>
  <si>
    <t>année 2021</t>
  </si>
  <si>
    <t>Frais informatique projects</t>
  </si>
  <si>
    <t>6604/4020</t>
  </si>
  <si>
    <t>Intérêts bancaires créditeurs et prêts</t>
  </si>
  <si>
    <t>Frais location véhicules</t>
  </si>
  <si>
    <t>Charges Covid</t>
  </si>
  <si>
    <t>au 30.09.2021</t>
  </si>
  <si>
    <t>Taxe pour prêts bancaires</t>
  </si>
  <si>
    <t>Frais de cartes de crédits</t>
  </si>
  <si>
    <t>année 2022</t>
  </si>
  <si>
    <t>Gains sur change</t>
  </si>
  <si>
    <t>Gratifications</t>
  </si>
  <si>
    <t>Pertes s/débiteurs</t>
  </si>
  <si>
    <t>Part privée véhicule</t>
  </si>
  <si>
    <t>Bénéfice interne sans corrections</t>
  </si>
  <si>
    <t>Commissions</t>
  </si>
  <si>
    <t>au 30.09.2022</t>
  </si>
  <si>
    <t>Frais de formation</t>
  </si>
  <si>
    <t>Chiffres</t>
  </si>
  <si>
    <t>année 2023</t>
  </si>
  <si>
    <t>Frais stockage marchandise externe</t>
  </si>
  <si>
    <t>Remises et bonifications</t>
  </si>
  <si>
    <t>Amortis. mobilier showroom</t>
  </si>
  <si>
    <t>Amortis. informatique</t>
  </si>
  <si>
    <t>Promerka Suisse charges facturés</t>
  </si>
  <si>
    <t>Frais bancaires</t>
  </si>
  <si>
    <t>Amortissements</t>
  </si>
  <si>
    <t>Intérêts et frais</t>
  </si>
  <si>
    <t>CHARGES FINANCIERES</t>
  </si>
  <si>
    <t>Réductions et pertes sur ventes</t>
  </si>
  <si>
    <t>Livraisons et expéditions</t>
  </si>
  <si>
    <t>Frais d'expédition et montage</t>
  </si>
  <si>
    <t>Autres frais de personnel</t>
  </si>
  <si>
    <t>30.06.2023</t>
  </si>
  <si>
    <t>Bénéfice</t>
  </si>
  <si>
    <t>Résultat d'exploitation (EBIT)</t>
  </si>
  <si>
    <t>Résultat d'exploitation avant impôts</t>
  </si>
  <si>
    <t>Résultat d'entreprise avant impôts</t>
  </si>
  <si>
    <t>Résultat d'exploitation (EBITDA)</t>
  </si>
  <si>
    <t>Activité d'exploitation</t>
  </si>
  <si>
    <t>Tableau des flux de trésorerie</t>
  </si>
  <si>
    <t>Paiements des clients (année précédente)</t>
  </si>
  <si>
    <t>Paiements des clients</t>
  </si>
  <si>
    <t>Flux de trésorerie</t>
  </si>
  <si>
    <t>PP</t>
  </si>
  <si>
    <t>Créances L&amp;P</t>
  </si>
  <si>
    <t>Paiements aux fournisseurs (année précédente)</t>
  </si>
  <si>
    <t>Dettes L&amp;P</t>
  </si>
  <si>
    <t>Paiements aux fournisseurs</t>
  </si>
  <si>
    <t>Variation stock</t>
  </si>
  <si>
    <t>Charges marchandise payées</t>
  </si>
  <si>
    <t>Charges marchandise à payer</t>
  </si>
  <si>
    <t>Produits monétaires:</t>
  </si>
  <si>
    <t>Charges monétaries:</t>
  </si>
  <si>
    <t>Charges de personnel</t>
  </si>
  <si>
    <t>Produits de la vente</t>
  </si>
  <si>
    <t>Paiements des charges diverses</t>
  </si>
  <si>
    <t>Paiements des impôts</t>
  </si>
  <si>
    <t>Paiements de loyer</t>
  </si>
  <si>
    <t>Paiements des charges de personnel</t>
  </si>
  <si>
    <t>Charges sociales (année précédente)</t>
  </si>
  <si>
    <t>Leasings</t>
  </si>
  <si>
    <t>Frais véhicules</t>
  </si>
  <si>
    <t>Charges de personnel interim</t>
  </si>
  <si>
    <t>Assurances voitures</t>
  </si>
  <si>
    <t>Autres aussurances et taxes</t>
  </si>
  <si>
    <t>Garantie pour loyer</t>
  </si>
  <si>
    <t>Flux de trés. provenant de l'activité d'expl.</t>
  </si>
  <si>
    <t>Paiements des primes d'assurances et taxes</t>
  </si>
  <si>
    <t>Paiements des livraisons et montages</t>
  </si>
  <si>
    <t>Frais de bureau et d'admin.</t>
  </si>
  <si>
    <t>Frais Promerka Suisse facturé</t>
  </si>
  <si>
    <t>Frais Promerka Suisse honoraires</t>
  </si>
  <si>
    <t>Paiements des frais de représentation</t>
  </si>
  <si>
    <t>Paiements des frais de bureau et d'admin.</t>
  </si>
  <si>
    <t>Paiements aux transporteurs</t>
  </si>
  <si>
    <t>BUDGET</t>
  </si>
  <si>
    <t>Paiements des intérêts</t>
  </si>
  <si>
    <t>Paiements des commissions</t>
  </si>
  <si>
    <t>Paiements des autres frais d'achats</t>
  </si>
  <si>
    <t>Paiements des frais de véhicules</t>
  </si>
  <si>
    <t>01.01-30.06.2023</t>
  </si>
  <si>
    <t>Paiements des provisions</t>
  </si>
  <si>
    <t>Pmt Ristourne Riedo</t>
  </si>
  <si>
    <t>Pmt Mutuel dcpte 2022</t>
  </si>
  <si>
    <t>Pmt Ass. RC dcpte 2022</t>
  </si>
  <si>
    <t>Pmt Prov. diveres</t>
  </si>
  <si>
    <t>Paiements AFC Bern</t>
  </si>
  <si>
    <t>Brouillon</t>
  </si>
  <si>
    <t>30.09.2023</t>
  </si>
  <si>
    <t>01.01-30.09.2023</t>
  </si>
  <si>
    <t>Impôts 2021</t>
  </si>
  <si>
    <t>Impôts 2022</t>
  </si>
  <si>
    <t>Impôts 2023</t>
  </si>
  <si>
    <t>Salaires net</t>
  </si>
  <si>
    <t>Charges sociales</t>
  </si>
  <si>
    <t>Salaires net (année précédente)</t>
  </si>
  <si>
    <t>Autres frais du presonnel</t>
  </si>
  <si>
    <t>Frais Promerka Suisse showroom</t>
  </si>
  <si>
    <t>Taxes pour autorisations</t>
  </si>
  <si>
    <t>Difference</t>
  </si>
  <si>
    <t>%</t>
  </si>
  <si>
    <t>Chiffre d'affaire</t>
  </si>
  <si>
    <t>Réduction vente</t>
  </si>
  <si>
    <t>Autres charges</t>
  </si>
  <si>
    <t>ANNEE</t>
  </si>
  <si>
    <t>au 30.09.2023</t>
  </si>
  <si>
    <t>Personnel interim admin</t>
  </si>
  <si>
    <t>Assurances Véhicules</t>
  </si>
  <si>
    <t>Gagnère Coffe &amp; More</t>
  </si>
  <si>
    <t>Aquisition</t>
  </si>
  <si>
    <t>% du CA</t>
  </si>
  <si>
    <t>année 2024</t>
  </si>
  <si>
    <t>=&gt; +5% perte dur debiteur</t>
  </si>
  <si>
    <t>=&gt; + 1/3 Stock</t>
  </si>
  <si>
    <t>=&gt; Frais Promerka Suisse</t>
  </si>
  <si>
    <t>Sous-traitant</t>
  </si>
  <si>
    <t>Prime d'assurances-accidents</t>
  </si>
  <si>
    <t xml:space="preserve">Prime d'assurances-maladie IJ </t>
  </si>
  <si>
    <t>Primes LPP caisse de pension</t>
  </si>
  <si>
    <t xml:space="preserve">Contributions AVS/AI/APG/AC </t>
  </si>
  <si>
    <t>Promerka honoraires</t>
  </si>
  <si>
    <t>Promerka Design frais divers</t>
  </si>
  <si>
    <t>Promerka locaux</t>
  </si>
  <si>
    <t>Frais de représentation salaire</t>
  </si>
  <si>
    <t>Frais de représentation voyage</t>
  </si>
  <si>
    <t>=&gt; autres</t>
  </si>
  <si>
    <t>Résultat Winbiz</t>
  </si>
  <si>
    <t>cpte WB</t>
  </si>
  <si>
    <t>6691/6680/3310</t>
  </si>
  <si>
    <t>6600/6601</t>
  </si>
  <si>
    <t>6660/4270</t>
  </si>
  <si>
    <t>6700/6755</t>
  </si>
  <si>
    <t>3000+/010</t>
  </si>
  <si>
    <t>3690/3790</t>
  </si>
  <si>
    <t>4086/4087/4088</t>
  </si>
  <si>
    <t>4000/4001/4002</t>
  </si>
  <si>
    <t>Personnel interim a</t>
  </si>
  <si>
    <t>Personnel interim 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</si>
</sst>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CHF]\ #,##0.00;[$CHF]\ \-#,##0.00"/>
    <numFmt numFmtId="165" formatCode="#,##0.00_ ;\-#,##0.00\ "/>
    <numFmt numFmtId="166" formatCode="0.0"/>
  </numFmts>
  <fonts count="4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2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sz val="9"/>
      <color theme="1" tint="0.34998626667073579"/>
      <name val="Calibri"/>
      <family val="2"/>
      <scheme val="minor"/>
    </font>
    <font>
      <b/>
      <sz val="9"/>
      <color theme="1" tint="0.34998626667073579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10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2"/>
      <color theme="2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rgb="FF00B050"/>
      <name val="Calibri"/>
      <family val="2"/>
      <scheme val="minor"/>
    </font>
    <font>
      <sz val="10"/>
      <color rgb="FF00B05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9"/>
      <color theme="0" tint="-0.34998626667073579"/>
      <name val="Calibri"/>
      <family val="2"/>
      <scheme val="minor"/>
    </font>
    <font>
      <sz val="9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2"/>
      <color theme="0" tint="-0.34998626667073579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9"/>
      <color rgb="FF00B050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color rgb="FF00B050"/>
      <name val="Calibri"/>
      <family val="2"/>
      <scheme val="minor"/>
    </font>
    <font>
      <sz val="9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8"/>
      <color rgb="FF00B050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sz val="8"/>
      <color theme="0" tint="-0.34998626667073579"/>
      <name val="Calibri"/>
      <family val="2"/>
      <scheme val="minor"/>
    </font>
    <font>
      <sz val="8"/>
      <color theme="2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9" fontId="4" fillId="0" borderId="0" xfId="0" applyNumberFormat="1" applyFont="1"/>
    <xf numFmtId="39" fontId="1" fillId="0" borderId="0" xfId="0" applyNumberFormat="1" applyFont="1" applyAlignment="1">
      <alignment horizontal="right"/>
    </xf>
    <xf numFmtId="39" fontId="6" fillId="0" borderId="0" xfId="0" applyNumberFormat="1" applyFont="1" applyAlignment="1">
      <alignment horizontal="right"/>
    </xf>
    <xf numFmtId="0" fontId="7" fillId="0" borderId="0" xfId="0" applyFont="1"/>
    <xf numFmtId="39" fontId="6" fillId="0" borderId="1" xfId="0" applyNumberFormat="1" applyFont="1" applyBorder="1"/>
    <xf numFmtId="0" fontId="3" fillId="0" borderId="1" xfId="0" applyFont="1" applyBorder="1"/>
    <xf numFmtId="0" fontId="4" fillId="0" borderId="1" xfId="0" applyFont="1" applyBorder="1"/>
    <xf numFmtId="0" fontId="2" fillId="0" borderId="1" xfId="0" applyFont="1" applyBorder="1"/>
    <xf numFmtId="39" fontId="6" fillId="0" borderId="0" xfId="0" applyNumberFormat="1" applyFont="1"/>
    <xf numFmtId="0" fontId="5" fillId="0" borderId="0" xfId="0" applyFont="1"/>
    <xf numFmtId="0" fontId="8" fillId="0" borderId="0" xfId="0" applyFont="1"/>
    <xf numFmtId="164" fontId="6" fillId="0" borderId="0" xfId="0" applyNumberFormat="1" applyFont="1"/>
    <xf numFmtId="39" fontId="12" fillId="0" borderId="0" xfId="0" applyNumberFormat="1" applyFont="1"/>
    <xf numFmtId="39" fontId="14" fillId="0" borderId="1" xfId="0" applyNumberFormat="1" applyFont="1" applyBorder="1"/>
    <xf numFmtId="165" fontId="2" fillId="0" borderId="0" xfId="0" applyNumberFormat="1" applyFont="1"/>
    <xf numFmtId="39" fontId="15" fillId="0" borderId="0" xfId="0" applyNumberFormat="1" applyFont="1"/>
    <xf numFmtId="39" fontId="16" fillId="0" borderId="0" xfId="0" applyNumberFormat="1" applyFont="1" applyAlignment="1">
      <alignment horizontal="right"/>
    </xf>
    <xf numFmtId="39" fontId="16" fillId="0" borderId="1" xfId="0" applyNumberFormat="1" applyFont="1" applyBorder="1"/>
    <xf numFmtId="39" fontId="16" fillId="0" borderId="0" xfId="0" applyNumberFormat="1" applyFont="1"/>
    <xf numFmtId="39" fontId="1" fillId="2" borderId="0" xfId="0" applyNumberFormat="1" applyFont="1" applyFill="1" applyAlignment="1">
      <alignment horizontal="right"/>
    </xf>
    <xf numFmtId="39" fontId="13" fillId="0" borderId="0" xfId="0" applyNumberFormat="1" applyFont="1"/>
    <xf numFmtId="39" fontId="17" fillId="0" borderId="0" xfId="0" applyNumberFormat="1" applyFont="1"/>
    <xf numFmtId="0" fontId="18" fillId="0" borderId="0" xfId="0" applyFont="1"/>
    <xf numFmtId="39" fontId="19" fillId="0" borderId="0" xfId="0" applyNumberFormat="1" applyFont="1"/>
    <xf numFmtId="39" fontId="20" fillId="0" borderId="1" xfId="0" applyNumberFormat="1" applyFont="1" applyBorder="1"/>
    <xf numFmtId="39" fontId="2" fillId="0" borderId="0" xfId="0" applyNumberFormat="1" applyFont="1"/>
    <xf numFmtId="0" fontId="1" fillId="0" borderId="0" xfId="0" applyFont="1"/>
    <xf numFmtId="39" fontId="8" fillId="0" borderId="0" xfId="0" applyNumberFormat="1" applyFont="1"/>
    <xf numFmtId="39" fontId="13" fillId="0" borderId="0" xfId="0" applyNumberFormat="1" applyFont="1" applyAlignment="1">
      <alignment horizontal="right"/>
    </xf>
    <xf numFmtId="39" fontId="13" fillId="0" borderId="1" xfId="0" applyNumberFormat="1" applyFont="1" applyBorder="1"/>
    <xf numFmtId="39" fontId="1" fillId="3" borderId="0" xfId="0" applyNumberFormat="1" applyFont="1" applyFill="1" applyAlignment="1">
      <alignment horizontal="right"/>
    </xf>
    <xf numFmtId="39" fontId="5" fillId="0" borderId="0" xfId="0" applyNumberFormat="1" applyFont="1"/>
    <xf numFmtId="39" fontId="14" fillId="0" borderId="0" xfId="0" applyNumberFormat="1" applyFont="1"/>
    <xf numFmtId="0" fontId="2" fillId="0" borderId="3" xfId="0" applyFont="1" applyBorder="1"/>
    <xf numFmtId="0" fontId="3" fillId="0" borderId="3" xfId="0" applyFont="1" applyBorder="1"/>
    <xf numFmtId="0" fontId="4" fillId="0" borderId="3" xfId="0" applyFont="1" applyBorder="1"/>
    <xf numFmtId="39" fontId="23" fillId="0" borderId="0" xfId="0" applyNumberFormat="1" applyFont="1"/>
    <xf numFmtId="0" fontId="2" fillId="0" borderId="0" xfId="0" applyFont="1" applyAlignment="1">
      <alignment vertical="center" wrapText="1"/>
    </xf>
    <xf numFmtId="39" fontId="6" fillId="0" borderId="0" xfId="0" applyNumberFormat="1" applyFont="1" applyBorder="1"/>
    <xf numFmtId="39" fontId="1" fillId="0" borderId="0" xfId="0" applyNumberFormat="1" applyFont="1" applyFill="1" applyAlignment="1">
      <alignment horizontal="right"/>
    </xf>
    <xf numFmtId="39" fontId="12" fillId="0" borderId="0" xfId="0" applyNumberFormat="1" applyFont="1" applyFill="1" applyBorder="1"/>
    <xf numFmtId="0" fontId="3" fillId="0" borderId="0" xfId="0" applyFont="1" applyBorder="1"/>
    <xf numFmtId="0" fontId="4" fillId="0" borderId="0" xfId="0" applyFont="1" applyBorder="1"/>
    <xf numFmtId="0" fontId="2" fillId="0" borderId="0" xfId="0" applyFont="1" applyBorder="1"/>
    <xf numFmtId="39" fontId="16" fillId="0" borderId="0" xfId="0" applyNumberFormat="1" applyFont="1" applyBorder="1"/>
    <xf numFmtId="39" fontId="13" fillId="0" borderId="0" xfId="0" applyNumberFormat="1" applyFont="1" applyBorder="1"/>
    <xf numFmtId="0" fontId="0" fillId="0" borderId="0" xfId="0" applyFont="1"/>
    <xf numFmtId="49" fontId="5" fillId="0" borderId="0" xfId="0" applyNumberFormat="1" applyFont="1" applyFill="1" applyAlignment="1">
      <alignment horizontal="right"/>
    </xf>
    <xf numFmtId="39" fontId="14" fillId="0" borderId="0" xfId="0" applyNumberFormat="1" applyFont="1" applyBorder="1"/>
    <xf numFmtId="0" fontId="0" fillId="0" borderId="0" xfId="0" applyBorder="1"/>
    <xf numFmtId="0" fontId="1" fillId="0" borderId="0" xfId="0" applyFont="1" applyBorder="1"/>
    <xf numFmtId="0" fontId="0" fillId="0" borderId="0" xfId="0" applyFont="1" applyBorder="1"/>
    <xf numFmtId="39" fontId="6" fillId="0" borderId="0" xfId="0" applyNumberFormat="1" applyFont="1" applyBorder="1" applyAlignment="1">
      <alignment horizontal="right"/>
    </xf>
    <xf numFmtId="0" fontId="7" fillId="0" borderId="0" xfId="0" applyFont="1" applyBorder="1"/>
    <xf numFmtId="39" fontId="4" fillId="0" borderId="0" xfId="0" applyNumberFormat="1" applyFont="1" applyBorder="1"/>
    <xf numFmtId="0" fontId="5" fillId="0" borderId="0" xfId="0" applyFont="1" applyBorder="1"/>
    <xf numFmtId="0" fontId="8" fillId="0" borderId="0" xfId="0" applyFont="1" applyBorder="1"/>
    <xf numFmtId="0" fontId="25" fillId="0" borderId="0" xfId="0" applyFont="1" applyBorder="1"/>
    <xf numFmtId="0" fontId="18" fillId="0" borderId="0" xfId="0" applyFont="1" applyBorder="1"/>
    <xf numFmtId="0" fontId="22" fillId="0" borderId="0" xfId="0" applyFont="1" applyBorder="1"/>
    <xf numFmtId="0" fontId="23" fillId="0" borderId="0" xfId="0" applyFont="1" applyBorder="1"/>
    <xf numFmtId="39" fontId="5" fillId="0" borderId="0" xfId="0" applyNumberFormat="1" applyFont="1" applyBorder="1"/>
    <xf numFmtId="164" fontId="6" fillId="0" borderId="0" xfId="0" applyNumberFormat="1" applyFont="1" applyBorder="1"/>
    <xf numFmtId="0" fontId="12" fillId="0" borderId="0" xfId="0" applyFont="1" applyBorder="1"/>
    <xf numFmtId="0" fontId="26" fillId="0" borderId="0" xfId="0" applyFont="1" applyBorder="1"/>
    <xf numFmtId="0" fontId="27" fillId="0" borderId="0" xfId="0" applyFont="1" applyBorder="1"/>
    <xf numFmtId="0" fontId="28" fillId="0" borderId="0" xfId="0" applyFont="1" applyBorder="1"/>
    <xf numFmtId="39" fontId="11" fillId="0" borderId="0" xfId="0" applyNumberFormat="1" applyFont="1" applyBorder="1"/>
    <xf numFmtId="164" fontId="13" fillId="0" borderId="0" xfId="0" applyNumberFormat="1" applyFont="1" applyBorder="1"/>
    <xf numFmtId="14" fontId="12" fillId="0" borderId="0" xfId="0" applyNumberFormat="1" applyFont="1" applyBorder="1"/>
    <xf numFmtId="39" fontId="4" fillId="0" borderId="0" xfId="0" applyNumberFormat="1" applyFont="1" applyBorder="1" applyAlignment="1">
      <alignment horizontal="right"/>
    </xf>
    <xf numFmtId="39" fontId="1" fillId="0" borderId="0" xfId="0" applyNumberFormat="1" applyFont="1" applyBorder="1"/>
    <xf numFmtId="39" fontId="12" fillId="0" borderId="0" xfId="0" applyNumberFormat="1" applyFont="1" applyBorder="1"/>
    <xf numFmtId="0" fontId="26" fillId="0" borderId="0" xfId="0" applyFont="1"/>
    <xf numFmtId="0" fontId="26" fillId="0" borderId="0" xfId="0" applyFont="1" applyBorder="1" applyAlignment="1">
      <alignment horizontal="right"/>
    </xf>
    <xf numFmtId="39" fontId="29" fillId="0" borderId="0" xfId="0" applyNumberFormat="1" applyFont="1" applyFill="1" applyAlignment="1">
      <alignment horizontal="right"/>
    </xf>
    <xf numFmtId="49" fontId="11" fillId="0" borderId="0" xfId="0" applyNumberFormat="1" applyFont="1" applyFill="1" applyAlignment="1">
      <alignment horizontal="right"/>
    </xf>
    <xf numFmtId="2" fontId="0" fillId="0" borderId="0" xfId="0" applyNumberFormat="1" applyFont="1" applyBorder="1"/>
    <xf numFmtId="39" fontId="24" fillId="0" borderId="0" xfId="0" applyNumberFormat="1" applyFont="1" applyBorder="1" applyAlignment="1">
      <alignment horizontal="right"/>
    </xf>
    <xf numFmtId="39" fontId="24" fillId="0" borderId="0" xfId="0" applyNumberFormat="1" applyFont="1" applyBorder="1"/>
    <xf numFmtId="0" fontId="30" fillId="0" borderId="0" xfId="0" applyFont="1" applyBorder="1"/>
    <xf numFmtId="0" fontId="30" fillId="0" borderId="0" xfId="0" applyFont="1" applyBorder="1" applyAlignment="1">
      <alignment horizontal="right"/>
    </xf>
    <xf numFmtId="39" fontId="30" fillId="0" borderId="0" xfId="0" applyNumberFormat="1" applyFont="1" applyFill="1" applyAlignment="1">
      <alignment horizontal="right"/>
    </xf>
    <xf numFmtId="49" fontId="31" fillId="0" borderId="0" xfId="0" applyNumberFormat="1" applyFont="1" applyFill="1" applyAlignment="1">
      <alignment horizontal="right"/>
    </xf>
    <xf numFmtId="39" fontId="32" fillId="0" borderId="0" xfId="0" applyNumberFormat="1" applyFont="1" applyBorder="1" applyAlignment="1">
      <alignment horizontal="right"/>
    </xf>
    <xf numFmtId="39" fontId="33" fillId="0" borderId="0" xfId="0" applyNumberFormat="1" applyFont="1" applyBorder="1"/>
    <xf numFmtId="39" fontId="32" fillId="0" borderId="0" xfId="0" applyNumberFormat="1" applyFont="1" applyBorder="1"/>
    <xf numFmtId="39" fontId="34" fillId="0" borderId="0" xfId="0" applyNumberFormat="1" applyFont="1" applyBorder="1"/>
    <xf numFmtId="39" fontId="33" fillId="0" borderId="0" xfId="0" applyNumberFormat="1" applyFont="1"/>
    <xf numFmtId="39" fontId="34" fillId="0" borderId="0" xfId="0" applyNumberFormat="1" applyFont="1" applyFill="1" applyAlignment="1">
      <alignment horizontal="right"/>
    </xf>
    <xf numFmtId="39" fontId="32" fillId="0" borderId="0" xfId="0" applyNumberFormat="1" applyFont="1" applyAlignment="1">
      <alignment horizontal="right"/>
    </xf>
    <xf numFmtId="39" fontId="32" fillId="0" borderId="1" xfId="0" applyNumberFormat="1" applyFont="1" applyBorder="1"/>
    <xf numFmtId="39" fontId="32" fillId="0" borderId="0" xfId="0" applyNumberFormat="1" applyFont="1"/>
    <xf numFmtId="39" fontId="31" fillId="0" borderId="0" xfId="0" applyNumberFormat="1" applyFont="1"/>
    <xf numFmtId="39" fontId="35" fillId="0" borderId="0" xfId="0" applyNumberFormat="1" applyFont="1"/>
    <xf numFmtId="39" fontId="0" fillId="0" borderId="0" xfId="0" applyNumberFormat="1"/>
    <xf numFmtId="39" fontId="12" fillId="0" borderId="0" xfId="0" applyNumberFormat="1" applyFont="1" applyFill="1"/>
    <xf numFmtId="39" fontId="1" fillId="0" borderId="2" xfId="0" applyNumberFormat="1" applyFont="1" applyBorder="1"/>
    <xf numFmtId="39" fontId="36" fillId="0" borderId="2" xfId="0" applyNumberFormat="1" applyFont="1" applyBorder="1"/>
    <xf numFmtId="39" fontId="34" fillId="0" borderId="2" xfId="0" applyNumberFormat="1" applyFont="1" applyBorder="1"/>
    <xf numFmtId="39" fontId="0" fillId="0" borderId="0" xfId="0" applyNumberFormat="1" applyFont="1"/>
    <xf numFmtId="39" fontId="37" fillId="0" borderId="2" xfId="0" applyNumberFormat="1" applyFont="1" applyBorder="1"/>
    <xf numFmtId="0" fontId="38" fillId="0" borderId="0" xfId="0" applyFont="1"/>
    <xf numFmtId="39" fontId="21" fillId="0" borderId="0" xfId="0" applyNumberFormat="1" applyFont="1"/>
    <xf numFmtId="39" fontId="1" fillId="0" borderId="0" xfId="0" applyNumberFormat="1" applyFont="1"/>
    <xf numFmtId="39" fontId="34" fillId="0" borderId="0" xfId="0" applyNumberFormat="1" applyFont="1"/>
    <xf numFmtId="39" fontId="38" fillId="0" borderId="0" xfId="0" applyNumberFormat="1" applyFont="1"/>
    <xf numFmtId="39" fontId="36" fillId="0" borderId="0" xfId="0" applyNumberFormat="1" applyFont="1" applyBorder="1"/>
    <xf numFmtId="39" fontId="29" fillId="0" borderId="0" xfId="0" applyNumberFormat="1" applyFont="1" applyBorder="1"/>
    <xf numFmtId="39" fontId="4" fillId="0" borderId="0" xfId="0" applyNumberFormat="1" applyFont="1" applyFill="1"/>
    <xf numFmtId="39" fontId="37" fillId="0" borderId="0" xfId="0" applyNumberFormat="1" applyFont="1" applyBorder="1"/>
    <xf numFmtId="0" fontId="0" fillId="0" borderId="0" xfId="0"/>
    <xf numFmtId="39" fontId="4" fillId="0" borderId="0" xfId="0" applyNumberFormat="1" applyFont="1"/>
    <xf numFmtId="39" fontId="1" fillId="0" borderId="0" xfId="0" applyNumberFormat="1" applyFont="1" applyAlignment="1">
      <alignment horizontal="right"/>
    </xf>
    <xf numFmtId="39" fontId="6" fillId="0" borderId="1" xfId="0" applyNumberFormat="1" applyFont="1" applyBorder="1"/>
    <xf numFmtId="39" fontId="12" fillId="0" borderId="0" xfId="0" applyNumberFormat="1" applyFont="1"/>
    <xf numFmtId="39" fontId="13" fillId="0" borderId="0" xfId="0" applyNumberFormat="1" applyFont="1"/>
    <xf numFmtId="39" fontId="13" fillId="0" borderId="0" xfId="0" applyNumberFormat="1" applyFont="1" applyAlignment="1">
      <alignment horizontal="right"/>
    </xf>
    <xf numFmtId="39" fontId="5" fillId="0" borderId="0" xfId="0" applyNumberFormat="1" applyFont="1"/>
    <xf numFmtId="39" fontId="34" fillId="0" borderId="0" xfId="0" applyNumberFormat="1" applyFont="1" applyBorder="1"/>
    <xf numFmtId="39" fontId="33" fillId="0" borderId="0" xfId="0" applyNumberFormat="1" applyFont="1"/>
    <xf numFmtId="39" fontId="39" fillId="0" borderId="0" xfId="0" applyNumberFormat="1" applyFont="1" applyBorder="1"/>
    <xf numFmtId="39" fontId="39" fillId="0" borderId="0" xfId="0" applyNumberFormat="1" applyFont="1" applyBorder="1" applyAlignment="1">
      <alignment horizontal="right"/>
    </xf>
    <xf numFmtId="0" fontId="40" fillId="0" borderId="0" xfId="0" applyFont="1"/>
    <xf numFmtId="0" fontId="41" fillId="0" borderId="0" xfId="0" applyFont="1"/>
    <xf numFmtId="39" fontId="42" fillId="0" borderId="0" xfId="0" applyNumberFormat="1" applyFont="1" applyBorder="1"/>
    <xf numFmtId="0" fontId="0" fillId="0" borderId="3" xfId="0" applyBorder="1"/>
    <xf numFmtId="166" fontId="0" fillId="0" borderId="3" xfId="0" applyNumberFormat="1" applyBorder="1"/>
    <xf numFmtId="166" fontId="0" fillId="0" borderId="0" xfId="0" applyNumberFormat="1"/>
    <xf numFmtId="0" fontId="1" fillId="0" borderId="0" xfId="0" applyFont="1" applyAlignment="1">
      <alignment horizontal="right"/>
    </xf>
    <xf numFmtId="39" fontId="12" fillId="0" borderId="0" xfId="0" applyNumberFormat="1" applyFont="1" applyBorder="1" applyAlignment="1">
      <alignment horizontal="left"/>
    </xf>
    <xf numFmtId="39" fontId="4" fillId="0" borderId="0" xfId="0" applyNumberFormat="1" applyFont="1" applyBorder="1" applyAlignment="1">
      <alignment horizontal="left"/>
    </xf>
    <xf numFmtId="39" fontId="1" fillId="0" borderId="0" xfId="0" applyNumberFormat="1" applyFont="1" applyBorder="1" applyAlignment="1">
      <alignment horizontal="left"/>
    </xf>
    <xf numFmtId="39" fontId="13" fillId="0" borderId="0" xfId="0" applyNumberFormat="1" applyFont="1" applyBorder="1" applyAlignment="1">
      <alignment horizontal="left"/>
    </xf>
    <xf numFmtId="39" fontId="5" fillId="0" borderId="0" xfId="0" applyNumberFormat="1" applyFont="1" applyBorder="1" applyAlignment="1">
      <alignment horizontal="left"/>
    </xf>
    <xf numFmtId="39" fontId="43" fillId="0" borderId="0" xfId="0" applyNumberFormat="1" applyFont="1"/>
    <xf numFmtId="166" fontId="26" fillId="0" borderId="0" xfId="0" applyNumberFormat="1" applyFont="1"/>
    <xf numFmtId="37" fontId="44" fillId="0" borderId="0" xfId="0" applyNumberFormat="1" applyFont="1" applyFill="1" applyBorder="1" applyAlignment="1">
      <alignment horizontal="right" wrapText="1"/>
    </xf>
    <xf numFmtId="39" fontId="44" fillId="0" borderId="0" xfId="0" applyNumberFormat="1" applyFont="1" applyBorder="1" applyAlignment="1">
      <alignment horizontal="right"/>
    </xf>
    <xf numFmtId="37" fontId="5" fillId="0" borderId="3" xfId="0" applyNumberFormat="1" applyFont="1" applyBorder="1" applyAlignment="1">
      <alignment horizontal="right"/>
    </xf>
    <xf numFmtId="37" fontId="5" fillId="4" borderId="3" xfId="0" applyNumberFormat="1" applyFont="1" applyFill="1" applyBorder="1" applyAlignment="1">
      <alignment horizontal="right"/>
    </xf>
    <xf numFmtId="37" fontId="39" fillId="0" borderId="3" xfId="0" applyNumberFormat="1" applyFont="1" applyBorder="1" applyAlignment="1">
      <alignment horizontal="right"/>
    </xf>
    <xf numFmtId="39" fontId="5" fillId="3" borderId="3" xfId="0" applyNumberFormat="1" applyFont="1" applyFill="1" applyBorder="1" applyAlignment="1">
      <alignment horizontal="right"/>
    </xf>
    <xf numFmtId="37" fontId="5" fillId="2" borderId="3" xfId="0" applyNumberFormat="1" applyFont="1" applyFill="1" applyBorder="1" applyAlignment="1">
      <alignment horizontal="right"/>
    </xf>
    <xf numFmtId="49" fontId="31" fillId="0" borderId="3" xfId="0" applyNumberFormat="1" applyFont="1" applyFill="1" applyBorder="1" applyAlignment="1">
      <alignment horizontal="right"/>
    </xf>
    <xf numFmtId="39" fontId="42" fillId="0" borderId="0" xfId="0" applyNumberFormat="1" applyFont="1" applyBorder="1" applyAlignment="1">
      <alignment horizontal="right"/>
    </xf>
    <xf numFmtId="49" fontId="2" fillId="0" borderId="0" xfId="0" applyNumberFormat="1" applyFont="1"/>
    <xf numFmtId="0" fontId="45" fillId="0" borderId="0" xfId="0" applyFont="1" applyAlignment="1">
      <alignment horizontal="left"/>
    </xf>
    <xf numFmtId="2" fontId="45" fillId="0" borderId="0" xfId="0" applyNumberFormat="1" applyFont="1" applyAlignment="1">
      <alignment horizontal="left"/>
    </xf>
    <xf numFmtId="39" fontId="45" fillId="0" borderId="0" xfId="0" applyNumberFormat="1" applyFont="1" applyAlignment="1">
      <alignment horizontal="left"/>
    </xf>
    <xf numFmtId="39" fontId="42" fillId="0" borderId="0" xfId="0" applyNumberFormat="1" applyFont="1" applyBorder="1" applyAlignment="1">
      <alignment horizontal="left"/>
    </xf>
    <xf numFmtId="39" fontId="41" fillId="0" borderId="0" xfId="0" applyNumberFormat="1" applyFont="1"/>
    <xf numFmtId="39" fontId="40" fillId="0" borderId="0" xfId="0" applyNumberFormat="1" applyFont="1"/>
    <xf numFmtId="39" fontId="46" fillId="0" borderId="0" xfId="0" applyNumberFormat="1" applyFont="1"/>
    <xf numFmtId="39" fontId="45" fillId="0" borderId="0" xfId="0" applyNumberFormat="1" applyFont="1"/>
    <xf numFmtId="39" fontId="47" fillId="0" borderId="0" xfId="0" applyNumberFormat="1" applyFont="1"/>
    <xf numFmtId="39" fontId="40" fillId="0" borderId="0" xfId="0" applyNumberFormat="1" applyFont="1" applyBorder="1" applyAlignment="1">
      <alignment horizontal="left"/>
    </xf>
    <xf numFmtId="0" fontId="48" fillId="0" borderId="0" xfId="0" applyFont="1"/>
    <xf numFmtId="39" fontId="48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3</xdr:col>
      <xdr:colOff>1123950</xdr:colOff>
      <xdr:row>0</xdr:row>
      <xdr:rowOff>476250</xdr:rowOff>
    </xdr:to>
    <xdr:pic>
      <xdr:nvPicPr>
        <xdr:cNvPr id="2" name="Image 1" descr="cid:B7E7F868-D38D-45B6-97DF-8D3CCB0F8005@evolink.ch">
          <a:extLst>
            <a:ext uri="{FF2B5EF4-FFF2-40B4-BE49-F238E27FC236}">
              <a16:creationId xmlns:a16="http://schemas.microsoft.com/office/drawing/2014/main" id="{63DCD390-090C-427B-82DA-4285AAA3BA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4305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152781</xdr:colOff>
      <xdr:row>0</xdr:row>
      <xdr:rowOff>0</xdr:rowOff>
    </xdr:from>
    <xdr:to>
      <xdr:col>3</xdr:col>
      <xdr:colOff>1361694</xdr:colOff>
      <xdr:row>0</xdr:row>
      <xdr:rowOff>552450</xdr:rowOff>
    </xdr:to>
    <xdr:pic>
      <xdr:nvPicPr>
        <xdr:cNvPr id="4" name="Image 3" descr="cid:B7E7F868-D38D-45B6-97DF-8D3CCB0F8005@evolink.ch">
          <a:extLst>
            <a:ext uri="{FF2B5EF4-FFF2-40B4-BE49-F238E27FC236}">
              <a16:creationId xmlns:a16="http://schemas.microsoft.com/office/drawing/2014/main" id="{48949964-075A-4DD2-B4F2-E22996B2BE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781" y="0"/>
          <a:ext cx="1789938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F2E718-45F8-489B-BBD6-9C131BF94FF3}">
  <dimension ref="B2:F14"/>
  <sheetViews>
    <sheetView workbookViewId="0">
      <selection activeCell="E10" sqref="E10"/>
    </sheetView>
  </sheetViews>
  <sheetFormatPr baseColWidth="10" defaultRowHeight="15" x14ac:dyDescent="0.25"/>
  <cols>
    <col min="2" max="2" width="21" customWidth="1"/>
    <col min="3" max="4" width="11.42578125" style="115" customWidth="1"/>
    <col min="7" max="7" width="6.85546875" customWidth="1"/>
  </cols>
  <sheetData>
    <row r="2" spans="2:6" s="115" customFormat="1" x14ac:dyDescent="0.25"/>
    <row r="3" spans="2:6" s="115" customFormat="1" x14ac:dyDescent="0.25"/>
    <row r="4" spans="2:6" s="30" customFormat="1" x14ac:dyDescent="0.25">
      <c r="B4" s="30" t="s">
        <v>192</v>
      </c>
      <c r="C4" s="30">
        <v>2020</v>
      </c>
      <c r="D4" s="30">
        <v>2021</v>
      </c>
      <c r="E4" s="30">
        <v>2022</v>
      </c>
      <c r="F4" s="30">
        <v>2023</v>
      </c>
    </row>
    <row r="5" spans="2:6" s="133" customFormat="1" x14ac:dyDescent="0.25">
      <c r="C5" s="133" t="s">
        <v>188</v>
      </c>
      <c r="D5" s="133" t="s">
        <v>188</v>
      </c>
      <c r="E5" s="133" t="s">
        <v>188</v>
      </c>
      <c r="F5" s="133" t="s">
        <v>188</v>
      </c>
    </row>
    <row r="6" spans="2:6" x14ac:dyDescent="0.25">
      <c r="B6" s="130" t="s">
        <v>189</v>
      </c>
      <c r="C6" s="131">
        <v>100</v>
      </c>
      <c r="D6" s="131">
        <v>100</v>
      </c>
      <c r="E6" s="131">
        <v>100</v>
      </c>
      <c r="F6" s="131">
        <v>100</v>
      </c>
    </row>
    <row r="7" spans="2:6" x14ac:dyDescent="0.25">
      <c r="B7" t="s">
        <v>190</v>
      </c>
      <c r="C7" s="132">
        <v>5.97</v>
      </c>
      <c r="D7" s="132">
        <v>6.77</v>
      </c>
      <c r="E7" s="132">
        <v>7.17</v>
      </c>
      <c r="F7" s="132">
        <v>4.4311547105760951</v>
      </c>
    </row>
    <row r="8" spans="2:6" x14ac:dyDescent="0.25">
      <c r="B8" t="s">
        <v>197</v>
      </c>
      <c r="C8" s="132">
        <v>51.36</v>
      </c>
      <c r="D8" s="132">
        <v>50.07</v>
      </c>
      <c r="E8" s="132">
        <v>55.8</v>
      </c>
      <c r="F8" s="132">
        <v>52.316964090410799</v>
      </c>
    </row>
    <row r="9" spans="2:6" x14ac:dyDescent="0.25">
      <c r="B9" s="77" t="s">
        <v>29</v>
      </c>
      <c r="C9" s="140">
        <v>22.36</v>
      </c>
      <c r="D9" s="140">
        <v>25.6</v>
      </c>
      <c r="E9" s="140">
        <v>19.62</v>
      </c>
      <c r="F9" s="132">
        <v>24.782833139589144</v>
      </c>
    </row>
    <row r="10" spans="2:6" s="115" customFormat="1" x14ac:dyDescent="0.25">
      <c r="B10" s="77" t="s">
        <v>224</v>
      </c>
      <c r="C10" s="140"/>
      <c r="D10" s="140"/>
      <c r="E10" s="140"/>
      <c r="F10" s="132">
        <v>3.1192008042096582</v>
      </c>
    </row>
    <row r="11" spans="2:6" s="115" customFormat="1" x14ac:dyDescent="0.25">
      <c r="B11" s="77" t="s">
        <v>225</v>
      </c>
      <c r="C11" s="140"/>
      <c r="D11" s="140"/>
      <c r="E11" s="140"/>
      <c r="F11" s="132">
        <v>3.3878092617064963</v>
      </c>
    </row>
    <row r="12" spans="2:6" x14ac:dyDescent="0.25">
      <c r="B12" s="130" t="s">
        <v>191</v>
      </c>
      <c r="C12" s="131">
        <f>100-C7-C8-C9-C13</f>
        <v>18.360000000000003</v>
      </c>
      <c r="D12" s="131">
        <f>100-D7-D8-D9-D13</f>
        <v>16.660000000000004</v>
      </c>
      <c r="E12" s="131">
        <f>100-E7-E8-E9-E13</f>
        <v>15.33</v>
      </c>
      <c r="F12" s="131">
        <v>21.649902259908515</v>
      </c>
    </row>
    <row r="13" spans="2:6" x14ac:dyDescent="0.25">
      <c r="B13" t="s">
        <v>121</v>
      </c>
      <c r="C13" s="132">
        <v>1.95</v>
      </c>
      <c r="D13" s="132">
        <v>0.9</v>
      </c>
      <c r="E13" s="132">
        <v>2.08</v>
      </c>
      <c r="F13" s="132">
        <v>-3.1808542004845517</v>
      </c>
    </row>
    <row r="14" spans="2:6" x14ac:dyDescent="0.25">
      <c r="C14" s="132"/>
      <c r="D14" s="132"/>
      <c r="E14" s="13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1CDC-B258-40C0-A00F-D64F9CE82DD5}">
  <sheetPr>
    <pageSetUpPr fitToPage="1"/>
  </sheetPr>
  <dimension ref="A1:AL206"/>
  <sheetViews>
    <sheetView tabSelected="1" zoomScaleNormal="100" workbookViewId="0">
      <pane xSplit="4" ySplit="4" topLeftCell="E139" activePane="bottomRight" state="frozen"/>
      <selection pane="topRight" activeCell="E1" sqref="E1"/>
      <selection pane="bottomLeft" activeCell="A6" sqref="A6"/>
      <selection pane="bottomRight" activeCell="AB157" sqref="AB157"/>
    </sheetView>
  </sheetViews>
  <sheetFormatPr baseColWidth="10" defaultRowHeight="15" outlineLevelCol="1" x14ac:dyDescent="0.25"/>
  <cols>
    <col min="1" max="1" width="2.42578125" style="1" customWidth="1"/>
    <col min="2" max="2" width="2.85546875" style="1" customWidth="1"/>
    <col min="3" max="3" width="3.42578125" style="2" customWidth="1"/>
    <col min="4" max="4" width="38.85546875" style="3" bestFit="1" customWidth="1"/>
    <col min="5" max="5" width="4.140625" style="1" customWidth="1"/>
    <col min="6" max="6" width="14.7109375" style="4" hidden="1" customWidth="1"/>
    <col min="7" max="7" width="14.7109375" style="4" customWidth="1"/>
    <col min="8" max="8" width="7.28515625" style="126" bestFit="1" customWidth="1"/>
    <col min="9" max="9" width="14.7109375" style="19" hidden="1" customWidth="1"/>
    <col min="10" max="10" width="17.28515625" style="4" customWidth="1"/>
    <col min="11" max="11" width="7.28515625" style="126" bestFit="1" customWidth="1"/>
    <col min="12" max="13" width="14.7109375" style="19" hidden="1" customWidth="1" outlineLevel="1"/>
    <col min="14" max="14" width="14.7109375" style="4" customWidth="1" collapsed="1"/>
    <col min="15" max="15" width="7.28515625" style="126" bestFit="1" customWidth="1"/>
    <col min="16" max="16" width="14.7109375" style="4" hidden="1" customWidth="1" outlineLevel="1"/>
    <col min="17" max="17" width="14.7109375" style="19" hidden="1" customWidth="1" outlineLevel="1"/>
    <col min="18" max="18" width="15.85546875" style="16" customWidth="1" collapsed="1"/>
    <col min="19" max="19" width="7.28515625" style="126" bestFit="1" customWidth="1"/>
    <col min="20" max="20" width="14" style="16" hidden="1" customWidth="1" outlineLevel="1"/>
    <col min="21" max="21" width="15.85546875" style="16" hidden="1" customWidth="1" outlineLevel="1"/>
    <col min="22" max="22" width="15.85546875" style="16" customWidth="1" collapsed="1"/>
    <col min="23" max="23" width="7.28515625" style="126" bestFit="1" customWidth="1"/>
    <col min="24" max="24" width="14.7109375" style="4" hidden="1" customWidth="1" outlineLevel="1"/>
    <col min="25" max="25" width="14.7109375" style="92" hidden="1" customWidth="1" outlineLevel="1"/>
    <col min="26" max="26" width="15.85546875" style="119" hidden="1" customWidth="1" outlineLevel="1"/>
    <col min="27" max="27" width="6.42578125" style="125" hidden="1" customWidth="1" outlineLevel="1"/>
    <col min="28" max="28" width="15.85546875" style="119" customWidth="1" collapsed="1"/>
    <col min="29" max="29" width="7.28515625" style="126" bestFit="1" customWidth="1"/>
    <col min="30" max="30" width="0.85546875" style="126" customWidth="1"/>
    <col min="31" max="31" width="15.85546875" style="119" customWidth="1"/>
    <col min="32" max="32" width="7.28515625" style="126" bestFit="1" customWidth="1"/>
    <col min="33" max="33" width="13.28515625" style="134" customWidth="1"/>
    <col min="34" max="34" width="10.7109375" style="151" customWidth="1"/>
    <col min="35" max="35" width="12.28515625" style="1" customWidth="1"/>
    <col min="36" max="36" width="12.140625" style="1" customWidth="1"/>
    <col min="37" max="37" width="12.28515625" style="1" customWidth="1"/>
    <col min="38" max="38" width="11.42578125" customWidth="1"/>
    <col min="39" max="41" width="11.42578125" style="1"/>
    <col min="42" max="42" width="5.42578125" style="1" customWidth="1"/>
    <col min="43" max="16384" width="11.42578125" style="1"/>
  </cols>
  <sheetData>
    <row r="1" spans="1:37" ht="56.25" customHeight="1" x14ac:dyDescent="0.25">
      <c r="J1" s="113"/>
      <c r="N1" s="113"/>
      <c r="R1" s="100"/>
      <c r="V1" s="100"/>
      <c r="AJ1" s="41"/>
      <c r="AK1" s="41"/>
    </row>
    <row r="2" spans="1:37" x14ac:dyDescent="0.25">
      <c r="I2" s="4"/>
      <c r="L2" s="4"/>
      <c r="M2" s="4"/>
      <c r="Q2" s="4"/>
      <c r="R2" s="4"/>
      <c r="T2" s="4"/>
      <c r="U2" s="4"/>
      <c r="V2" s="4"/>
      <c r="Z2" s="116"/>
      <c r="AB2" s="113"/>
      <c r="AE2" s="116"/>
      <c r="AG2" s="135"/>
    </row>
    <row r="3" spans="1:37" customFormat="1" x14ac:dyDescent="0.25">
      <c r="B3" s="30"/>
      <c r="C3" s="30"/>
      <c r="D3" s="50"/>
      <c r="F3" s="5" t="s">
        <v>105</v>
      </c>
      <c r="G3" s="5" t="s">
        <v>0</v>
      </c>
      <c r="H3" s="126"/>
      <c r="I3" s="34" t="s">
        <v>1</v>
      </c>
      <c r="J3" s="5" t="s">
        <v>0</v>
      </c>
      <c r="K3" s="126"/>
      <c r="L3" s="34" t="s">
        <v>1</v>
      </c>
      <c r="M3" s="23" t="s">
        <v>0</v>
      </c>
      <c r="N3" s="5" t="s">
        <v>0</v>
      </c>
      <c r="O3" s="126"/>
      <c r="P3" s="34" t="s">
        <v>1</v>
      </c>
      <c r="Q3" s="23" t="s">
        <v>0</v>
      </c>
      <c r="R3" s="5" t="s">
        <v>0</v>
      </c>
      <c r="S3" s="126"/>
      <c r="T3" s="34" t="s">
        <v>1</v>
      </c>
      <c r="U3" s="23" t="s">
        <v>0</v>
      </c>
      <c r="V3" s="5" t="s">
        <v>0</v>
      </c>
      <c r="W3" s="126"/>
      <c r="X3" s="34" t="s">
        <v>1</v>
      </c>
      <c r="Y3" s="93" t="s">
        <v>1</v>
      </c>
      <c r="Z3" s="23" t="s">
        <v>0</v>
      </c>
      <c r="AA3" s="126"/>
      <c r="AB3" s="117" t="s">
        <v>0</v>
      </c>
      <c r="AC3" s="126"/>
      <c r="AD3" s="126"/>
      <c r="AE3" s="34" t="s">
        <v>1</v>
      </c>
      <c r="AF3" s="126"/>
      <c r="AG3" s="136"/>
      <c r="AH3" s="151" t="s">
        <v>215</v>
      </c>
    </row>
    <row r="4" spans="1:37" ht="15.75" x14ac:dyDescent="0.25">
      <c r="A4" s="37"/>
      <c r="B4" s="37"/>
      <c r="C4" s="38"/>
      <c r="D4" s="39"/>
      <c r="E4" s="37"/>
      <c r="F4" s="143" t="s">
        <v>2</v>
      </c>
      <c r="G4" s="144" t="s">
        <v>2</v>
      </c>
      <c r="H4" s="145" t="s">
        <v>198</v>
      </c>
      <c r="I4" s="146" t="s">
        <v>3</v>
      </c>
      <c r="J4" s="144" t="s">
        <v>3</v>
      </c>
      <c r="K4" s="145" t="s">
        <v>198</v>
      </c>
      <c r="L4" s="146" t="s">
        <v>77</v>
      </c>
      <c r="M4" s="147" t="s">
        <v>81</v>
      </c>
      <c r="N4" s="144" t="s">
        <v>77</v>
      </c>
      <c r="O4" s="145" t="s">
        <v>198</v>
      </c>
      <c r="P4" s="146" t="s">
        <v>87</v>
      </c>
      <c r="Q4" s="147" t="s">
        <v>93</v>
      </c>
      <c r="R4" s="144" t="s">
        <v>87</v>
      </c>
      <c r="S4" s="145" t="s">
        <v>198</v>
      </c>
      <c r="T4" s="146" t="s">
        <v>96</v>
      </c>
      <c r="U4" s="147" t="s">
        <v>103</v>
      </c>
      <c r="V4" s="144" t="s">
        <v>96</v>
      </c>
      <c r="W4" s="145" t="s">
        <v>198</v>
      </c>
      <c r="X4" s="146" t="s">
        <v>106</v>
      </c>
      <c r="Y4" s="148" t="s">
        <v>120</v>
      </c>
      <c r="Z4" s="147" t="s">
        <v>193</v>
      </c>
      <c r="AA4" s="145" t="s">
        <v>188</v>
      </c>
      <c r="AB4" s="144" t="s">
        <v>106</v>
      </c>
      <c r="AC4" s="145" t="s">
        <v>198</v>
      </c>
      <c r="AD4" s="145"/>
      <c r="AE4" s="146" t="s">
        <v>199</v>
      </c>
      <c r="AF4" s="145" t="s">
        <v>198</v>
      </c>
      <c r="AG4" s="141"/>
    </row>
    <row r="5" spans="1:37" x14ac:dyDescent="0.25">
      <c r="B5" s="7" t="s">
        <v>4</v>
      </c>
      <c r="I5" s="20"/>
      <c r="J5" s="6"/>
      <c r="L5" s="20"/>
      <c r="M5" s="20"/>
      <c r="N5" s="6"/>
      <c r="P5" s="6"/>
      <c r="Q5" s="20"/>
      <c r="R5" s="32"/>
      <c r="T5" s="32"/>
      <c r="U5" s="32"/>
      <c r="V5" s="32"/>
      <c r="X5" s="6"/>
      <c r="Y5" s="94"/>
      <c r="Z5" s="121"/>
      <c r="AA5" s="126"/>
      <c r="AB5" s="121"/>
      <c r="AE5" s="121"/>
      <c r="AG5" s="137"/>
    </row>
    <row r="6" spans="1:37" x14ac:dyDescent="0.25">
      <c r="B6" s="2"/>
      <c r="I6" s="20"/>
      <c r="J6" s="6"/>
      <c r="L6" s="20"/>
      <c r="M6" s="20"/>
      <c r="N6" s="6"/>
      <c r="P6" s="6"/>
      <c r="Q6" s="20"/>
      <c r="R6" s="32"/>
      <c r="T6" s="32"/>
      <c r="U6" s="32"/>
      <c r="V6" s="32"/>
      <c r="X6" s="6"/>
      <c r="Y6" s="94"/>
      <c r="Z6" s="121"/>
      <c r="AA6" s="126"/>
      <c r="AB6" s="121"/>
      <c r="AE6" s="121"/>
      <c r="AG6" s="137"/>
    </row>
    <row r="7" spans="1:37" x14ac:dyDescent="0.25">
      <c r="C7" s="2" t="s">
        <v>5</v>
      </c>
    </row>
    <row r="8" spans="1:37" x14ac:dyDescent="0.25">
      <c r="D8" s="3" t="s">
        <v>6</v>
      </c>
      <c r="F8" s="4">
        <v>1741996.22</v>
      </c>
      <c r="G8" s="4">
        <v>1741996.22</v>
      </c>
      <c r="I8" s="19">
        <v>2000000</v>
      </c>
      <c r="J8" s="4">
        <f>1878629.01</f>
        <v>1878629.01</v>
      </c>
      <c r="L8" s="19">
        <v>2000000</v>
      </c>
      <c r="M8" s="4">
        <v>1631941.98</v>
      </c>
      <c r="N8" s="4">
        <v>2149220.63</v>
      </c>
      <c r="P8" s="4">
        <v>2500000</v>
      </c>
      <c r="Q8" s="4">
        <v>1963664.12</v>
      </c>
      <c r="R8" s="4">
        <v>2404284.58</v>
      </c>
      <c r="T8" s="4">
        <v>2600000</v>
      </c>
      <c r="U8" s="4">
        <v>2601663.0099999998</v>
      </c>
      <c r="V8" s="4">
        <v>3063606.58</v>
      </c>
      <c r="X8" s="4">
        <v>2500000</v>
      </c>
      <c r="Y8" s="92">
        <f>X8/2</f>
        <v>1250000</v>
      </c>
      <c r="Z8" s="116">
        <v>1437881.78</v>
      </c>
      <c r="AB8" s="116">
        <v>1798026.14</v>
      </c>
      <c r="AE8" s="116">
        <v>2200000</v>
      </c>
      <c r="AG8" s="142"/>
      <c r="AI8" s="18"/>
    </row>
    <row r="9" spans="1:37" x14ac:dyDescent="0.25">
      <c r="F9" s="8">
        <f>SUM(F8:F8)</f>
        <v>1741996.22</v>
      </c>
      <c r="G9" s="8">
        <f>SUM(G8:G8)</f>
        <v>1741996.22</v>
      </c>
      <c r="H9" s="126">
        <v>100</v>
      </c>
      <c r="I9" s="21">
        <f>SUM(I8:I8)</f>
        <v>2000000</v>
      </c>
      <c r="J9" s="8">
        <f>SUM(J8:J8)</f>
        <v>1878629.01</v>
      </c>
      <c r="K9" s="126">
        <v>100</v>
      </c>
      <c r="L9" s="21">
        <v>2000000</v>
      </c>
      <c r="M9" s="8">
        <f>SUM(M8:M8)</f>
        <v>1631941.98</v>
      </c>
      <c r="N9" s="8">
        <f>SUM(N8:N8)</f>
        <v>2149220.63</v>
      </c>
      <c r="O9" s="126">
        <v>100</v>
      </c>
      <c r="P9" s="8">
        <f t="shared" ref="P9" si="0">SUM(P8:P8)</f>
        <v>2500000</v>
      </c>
      <c r="Q9" s="8">
        <f>SUM(Q8:Q8)</f>
        <v>1963664.12</v>
      </c>
      <c r="R9" s="8">
        <f>SUM(R8:R8)</f>
        <v>2404284.58</v>
      </c>
      <c r="S9" s="126">
        <v>100</v>
      </c>
      <c r="T9" s="8">
        <f>SUM(T8:T8)</f>
        <v>2600000</v>
      </c>
      <c r="U9" s="8">
        <f>SUM(U8:U8)</f>
        <v>2601663.0099999998</v>
      </c>
      <c r="V9" s="8">
        <f>SUM(V8:V8)</f>
        <v>3063606.58</v>
      </c>
      <c r="W9" s="126">
        <v>100</v>
      </c>
      <c r="X9" s="8">
        <f>SUM(X8:X8)</f>
        <v>2500000</v>
      </c>
      <c r="Y9" s="95">
        <f>SUM(Y8:Y8)</f>
        <v>1250000</v>
      </c>
      <c r="Z9" s="118">
        <f>SUM(Z8:Z8)</f>
        <v>1437881.78</v>
      </c>
      <c r="AA9" s="125">
        <v>100</v>
      </c>
      <c r="AB9" s="118">
        <f>SUM(AB8:AB8)</f>
        <v>1798026.14</v>
      </c>
      <c r="AC9" s="126">
        <v>100</v>
      </c>
      <c r="AE9" s="118">
        <f>SUM(AE8:AE8)</f>
        <v>2200000</v>
      </c>
      <c r="AF9" s="126">
        <v>100</v>
      </c>
      <c r="AG9" s="142"/>
      <c r="AI9" s="29"/>
    </row>
    <row r="10" spans="1:37" x14ac:dyDescent="0.25">
      <c r="C10" s="2" t="s">
        <v>116</v>
      </c>
      <c r="AG10" s="142"/>
    </row>
    <row r="11" spans="1:37" x14ac:dyDescent="0.25">
      <c r="D11" s="3" t="s">
        <v>117</v>
      </c>
      <c r="F11" s="4">
        <v>-21275.58</v>
      </c>
      <c r="G11" s="4">
        <v>-21275.58</v>
      </c>
      <c r="I11" s="19">
        <v>-40000</v>
      </c>
      <c r="J11" s="4">
        <v>-27329.09</v>
      </c>
      <c r="L11" s="19">
        <v>-30000</v>
      </c>
      <c r="M11" s="19">
        <v>-38065.4</v>
      </c>
      <c r="N11" s="116">
        <v>-53610.15</v>
      </c>
      <c r="P11" s="4">
        <v>-30000</v>
      </c>
      <c r="Q11" s="19">
        <v>-55474.2</v>
      </c>
      <c r="R11" s="4">
        <v>-60101.3</v>
      </c>
      <c r="T11" s="4">
        <v>-60101.3</v>
      </c>
      <c r="U11" s="4">
        <v>-27834.6</v>
      </c>
      <c r="V11" s="4">
        <v>-33440.6</v>
      </c>
      <c r="X11" s="4">
        <v>-60000</v>
      </c>
      <c r="Y11" s="92">
        <f t="shared" ref="Y11:Y17" si="1">X11/2</f>
        <v>-30000</v>
      </c>
      <c r="Z11" s="116">
        <v>-9883.15</v>
      </c>
      <c r="AB11" s="116">
        <v>-11747.06</v>
      </c>
      <c r="AE11" s="116">
        <v>-35000</v>
      </c>
      <c r="AG11" s="142"/>
      <c r="AH11" s="151">
        <v>6690</v>
      </c>
    </row>
    <row r="12" spans="1:37" x14ac:dyDescent="0.25">
      <c r="D12" s="3" t="s">
        <v>118</v>
      </c>
      <c r="F12" s="4">
        <v>-1764.4</v>
      </c>
      <c r="G12" s="4">
        <v>-1764.4</v>
      </c>
      <c r="I12" s="19">
        <v>-2500</v>
      </c>
      <c r="J12" s="4">
        <f>-(13682.66+265.2)</f>
        <v>-13947.86</v>
      </c>
      <c r="L12" s="19">
        <v>-15000</v>
      </c>
      <c r="M12" s="19">
        <f>-(18031.05+478.05)</f>
        <v>-18509.099999999999</v>
      </c>
      <c r="N12" s="116">
        <v>-27275.85</v>
      </c>
      <c r="P12" s="4">
        <v>-60000</v>
      </c>
      <c r="Q12" s="19">
        <f>-(29624.65+2810.8+3837.45)</f>
        <v>-36272.9</v>
      </c>
      <c r="R12" s="4">
        <f>-(29624.65+4086.45)</f>
        <v>-33711.1</v>
      </c>
      <c r="T12" s="4">
        <f>-(29624.65+4086.45)</f>
        <v>-33711.1</v>
      </c>
      <c r="U12" s="4">
        <f>-(4653.05+139.6)</f>
        <v>-4792.6500000000005</v>
      </c>
      <c r="V12" s="4">
        <f>-5851.45-139.6</f>
        <v>-5991.05</v>
      </c>
      <c r="X12" s="4">
        <v>-35000</v>
      </c>
      <c r="Y12" s="92">
        <f t="shared" si="1"/>
        <v>-17500</v>
      </c>
      <c r="Z12" s="116">
        <f>-(1269.35+5770.45+62.65)</f>
        <v>-7102.4499999999989</v>
      </c>
      <c r="AB12" s="116">
        <f>-(6670.45+1269.35+82.95)</f>
        <v>-8022.7499999999991</v>
      </c>
      <c r="AE12" s="116">
        <v>-10000</v>
      </c>
      <c r="AG12" s="142"/>
      <c r="AH12" s="151" t="s">
        <v>216</v>
      </c>
    </row>
    <row r="13" spans="1:37" x14ac:dyDescent="0.25">
      <c r="D13" s="3" t="s">
        <v>107</v>
      </c>
      <c r="N13" s="115"/>
      <c r="R13" s="4">
        <v>-3024.8</v>
      </c>
      <c r="T13" s="4"/>
      <c r="U13" s="4">
        <v>0</v>
      </c>
      <c r="V13" s="4">
        <v>0</v>
      </c>
      <c r="Y13" s="92">
        <f t="shared" si="1"/>
        <v>0</v>
      </c>
      <c r="Z13" s="116">
        <v>0</v>
      </c>
      <c r="AB13" s="116"/>
      <c r="AE13" s="116"/>
      <c r="AG13" s="142"/>
    </row>
    <row r="14" spans="1:37" x14ac:dyDescent="0.25">
      <c r="D14" s="3" t="s">
        <v>7</v>
      </c>
      <c r="F14" s="4">
        <f>-3701.95-1273.91-24.03</f>
        <v>-4999.8899999999994</v>
      </c>
      <c r="G14" s="4">
        <f>-3701.95-1273.91-24.03</f>
        <v>-4999.8899999999994</v>
      </c>
      <c r="I14" s="19">
        <v>-5000</v>
      </c>
      <c r="J14" s="4">
        <f>-(241.7+14129.5)</f>
        <v>-14371.2</v>
      </c>
      <c r="L14" s="19">
        <v>-15000</v>
      </c>
      <c r="M14" s="19">
        <f>-(499.07+14892.05)</f>
        <v>-15391.119999999999</v>
      </c>
      <c r="N14" s="116">
        <v>-20531.289999999997</v>
      </c>
      <c r="P14" s="4">
        <v>-20521.493333333332</v>
      </c>
      <c r="Q14" s="19">
        <f>-(27580.25+739.55)</f>
        <v>-28319.8</v>
      </c>
      <c r="R14" s="4">
        <f>-(678.6+36205)</f>
        <v>-36883.599999999999</v>
      </c>
      <c r="T14" s="4">
        <f>-(678.6+36205)</f>
        <v>-36883.599999999999</v>
      </c>
      <c r="U14" s="4">
        <f>-(137852.07+515.19)</f>
        <v>-138367.26</v>
      </c>
      <c r="V14" s="4">
        <f>(-158301.02-463.25)</f>
        <v>-158764.26999999999</v>
      </c>
      <c r="X14" s="4">
        <v>-60000</v>
      </c>
      <c r="Y14" s="92">
        <f t="shared" si="1"/>
        <v>-30000</v>
      </c>
      <c r="Z14" s="116">
        <f>-(327.72+42510.6)</f>
        <v>-42838.32</v>
      </c>
      <c r="AB14" s="116">
        <f>-313.48-56132.7</f>
        <v>-56446.18</v>
      </c>
      <c r="AE14" s="116">
        <v>-50000</v>
      </c>
      <c r="AG14" s="142"/>
      <c r="AH14" s="151" t="s">
        <v>217</v>
      </c>
      <c r="AI14" s="29"/>
    </row>
    <row r="15" spans="1:37" x14ac:dyDescent="0.25">
      <c r="D15" s="3" t="s">
        <v>8</v>
      </c>
      <c r="F15" s="4">
        <v>-684.11</v>
      </c>
      <c r="G15" s="4">
        <v>-684.11</v>
      </c>
      <c r="I15" s="19">
        <v>-700</v>
      </c>
      <c r="J15" s="4">
        <v>-153.54</v>
      </c>
      <c r="L15" s="19">
        <v>-150</v>
      </c>
      <c r="M15" s="19">
        <v>0</v>
      </c>
      <c r="N15" s="116">
        <v>-7.95</v>
      </c>
      <c r="P15" s="4">
        <v>0</v>
      </c>
      <c r="Q15" s="19">
        <v>-38.200000000000003</v>
      </c>
      <c r="R15" s="4">
        <v>-245.66</v>
      </c>
      <c r="T15" s="4">
        <v>-245.66</v>
      </c>
      <c r="U15" s="4">
        <f>-118.26</f>
        <v>-118.26</v>
      </c>
      <c r="V15" s="4">
        <v>-140.97999999999999</v>
      </c>
      <c r="X15" s="4">
        <v>-150</v>
      </c>
      <c r="Y15" s="92">
        <f t="shared" si="1"/>
        <v>-75</v>
      </c>
      <c r="Z15" s="116">
        <v>-228.64</v>
      </c>
      <c r="AB15" s="116">
        <v>-232.01</v>
      </c>
      <c r="AE15" s="116">
        <v>-250</v>
      </c>
      <c r="AG15" s="142"/>
      <c r="AH15" s="151" t="s">
        <v>218</v>
      </c>
      <c r="AI15" s="29"/>
    </row>
    <row r="16" spans="1:37" x14ac:dyDescent="0.25">
      <c r="D16" s="3" t="s">
        <v>102</v>
      </c>
      <c r="J16" s="4">
        <v>-1145.4000000000001</v>
      </c>
      <c r="L16" s="19">
        <v>-1000</v>
      </c>
      <c r="M16" s="19">
        <f>-(1573.4+385)</f>
        <v>-1958.4</v>
      </c>
      <c r="N16" s="116">
        <v>-4762.1499999999996</v>
      </c>
      <c r="P16" s="4">
        <v>0</v>
      </c>
      <c r="Q16" s="19">
        <f>-(22433.65+3312.75)</f>
        <v>-25746.400000000001</v>
      </c>
      <c r="R16" s="4">
        <f>-(22978+3822.35)</f>
        <v>-26800.35</v>
      </c>
      <c r="T16" s="4">
        <f>-(22978+3822.35)</f>
        <v>-26800.35</v>
      </c>
      <c r="U16" s="4">
        <v>-16668.45</v>
      </c>
      <c r="V16" s="4">
        <f>-(278+17447.5)</f>
        <v>-17725.5</v>
      </c>
      <c r="X16" s="4">
        <v>-25000</v>
      </c>
      <c r="Y16" s="92">
        <f t="shared" si="1"/>
        <v>-12500</v>
      </c>
      <c r="Z16" s="116">
        <v>-1634.2</v>
      </c>
      <c r="AB16" s="116">
        <v>-2163.9</v>
      </c>
      <c r="AE16" s="116">
        <v>-2000</v>
      </c>
      <c r="AG16" s="142"/>
      <c r="AH16" s="151" t="s">
        <v>89</v>
      </c>
    </row>
    <row r="17" spans="2:35" x14ac:dyDescent="0.25">
      <c r="D17" s="3" t="s">
        <v>9</v>
      </c>
      <c r="F17" s="116">
        <v>-30833.95</v>
      </c>
      <c r="G17" s="119">
        <v>-16833.95</v>
      </c>
      <c r="I17" s="19">
        <v>-15000</v>
      </c>
      <c r="J17" s="116">
        <v>-25174.35</v>
      </c>
      <c r="L17" s="19">
        <v>-10000</v>
      </c>
      <c r="M17" s="4">
        <v>-19999.95</v>
      </c>
      <c r="N17" s="116">
        <v>-22649.95</v>
      </c>
      <c r="P17" s="4">
        <v>-26666.6</v>
      </c>
      <c r="Q17" s="16">
        <v>-15007.65</v>
      </c>
      <c r="R17" s="4">
        <v>-1407.65</v>
      </c>
      <c r="T17" s="4">
        <v>-1407.65</v>
      </c>
      <c r="U17" s="4">
        <v>-3760</v>
      </c>
      <c r="V17" s="4">
        <v>-2584.1999999999998</v>
      </c>
      <c r="X17" s="4">
        <v>-10000</v>
      </c>
      <c r="Y17" s="92">
        <f t="shared" si="1"/>
        <v>-5000</v>
      </c>
      <c r="Z17" s="116">
        <v>-3000</v>
      </c>
      <c r="AB17" s="116">
        <v>-4611.1000000000004</v>
      </c>
      <c r="AE17" s="116">
        <v>-5000</v>
      </c>
      <c r="AG17" s="142"/>
      <c r="AH17" s="151">
        <v>6602</v>
      </c>
      <c r="AI17" s="31"/>
    </row>
    <row r="18" spans="2:35" x14ac:dyDescent="0.25">
      <c r="D18" s="3" t="s">
        <v>99</v>
      </c>
      <c r="F18" s="16"/>
      <c r="J18" s="16"/>
      <c r="M18" s="4"/>
      <c r="N18" s="115"/>
      <c r="Q18" s="16"/>
      <c r="R18" s="4">
        <v>671.8</v>
      </c>
      <c r="T18" s="4"/>
      <c r="U18" s="4"/>
      <c r="X18" s="4">
        <v>0</v>
      </c>
      <c r="Y18" s="92">
        <v>0</v>
      </c>
      <c r="Z18" s="116">
        <v>0</v>
      </c>
      <c r="AB18" s="113"/>
      <c r="AG18" s="142"/>
      <c r="AI18" s="31"/>
    </row>
    <row r="19" spans="2:35" x14ac:dyDescent="0.25">
      <c r="D19" s="3" t="s">
        <v>78</v>
      </c>
      <c r="F19" s="16"/>
      <c r="J19" s="4">
        <v>-5790</v>
      </c>
      <c r="L19" s="19">
        <v>-6000</v>
      </c>
      <c r="M19" s="4">
        <v>5790</v>
      </c>
      <c r="N19" s="116">
        <v>490</v>
      </c>
      <c r="P19" s="4">
        <v>0</v>
      </c>
      <c r="Q19" s="16">
        <v>-8700</v>
      </c>
      <c r="R19" s="116">
        <v>-1170</v>
      </c>
      <c r="T19" s="116">
        <v>0</v>
      </c>
      <c r="U19" s="116">
        <v>-1610</v>
      </c>
      <c r="V19" s="116">
        <v>-1063.5</v>
      </c>
      <c r="X19" s="4">
        <v>0</v>
      </c>
      <c r="Y19" s="92">
        <v>0</v>
      </c>
      <c r="Z19" s="116">
        <v>7533.5</v>
      </c>
      <c r="AB19" s="116">
        <v>1453.7</v>
      </c>
      <c r="AE19" s="113"/>
      <c r="AG19" s="142"/>
    </row>
    <row r="20" spans="2:35" x14ac:dyDescent="0.25">
      <c r="F20" s="8">
        <f>SUM(F11:F17)</f>
        <v>-59557.930000000008</v>
      </c>
      <c r="G20" s="8">
        <f>SUM(G11:G17)</f>
        <v>-45557.930000000008</v>
      </c>
      <c r="H20" s="126">
        <f>100/G$9*G20</f>
        <v>-2.6152714613812424</v>
      </c>
      <c r="I20" s="21">
        <f>SUM(I11:I17)</f>
        <v>-63200</v>
      </c>
      <c r="J20" s="8">
        <f>SUM(J11:J19)</f>
        <v>-87911.44</v>
      </c>
      <c r="K20" s="126">
        <f>100/J$9*J20</f>
        <v>-4.6795529895495438</v>
      </c>
      <c r="L20" s="21">
        <f>SUM(L11:L19)</f>
        <v>-77150</v>
      </c>
      <c r="M20" s="8">
        <f>SUM(M11:M19)</f>
        <v>-88133.969999999987</v>
      </c>
      <c r="N20" s="8">
        <f>SUM(N11:N19)</f>
        <v>-128347.33999999998</v>
      </c>
      <c r="O20" s="126">
        <f>100/N$9*N20</f>
        <v>-5.971808487619068</v>
      </c>
      <c r="P20" s="8">
        <f t="shared" ref="P20" si="2">SUM(P11:P19)</f>
        <v>-137188.09333333332</v>
      </c>
      <c r="Q20" s="8">
        <f>SUM(Q11:Q19)</f>
        <v>-169559.15</v>
      </c>
      <c r="R20" s="8">
        <f>SUM(R11:R19)</f>
        <v>-162672.66</v>
      </c>
      <c r="S20" s="126">
        <f>100/R$9*R20</f>
        <v>-6.7659486465616316</v>
      </c>
      <c r="T20" s="8">
        <f>SUM(T11:T19)</f>
        <v>-159149.66</v>
      </c>
      <c r="U20" s="8">
        <f>SUM(U11:U19)</f>
        <v>-193151.22000000003</v>
      </c>
      <c r="V20" s="8">
        <f>SUM(V11:V19)</f>
        <v>-219710.1</v>
      </c>
      <c r="W20" s="126">
        <f>100/V$9*V20</f>
        <v>-7.1716160108260381</v>
      </c>
      <c r="X20" s="8">
        <f>SUM(X11:X19)</f>
        <v>-190150</v>
      </c>
      <c r="Y20" s="95">
        <f>SUM(Y11:Y19)</f>
        <v>-95075</v>
      </c>
      <c r="Z20" s="118">
        <f>SUM(Z11:Z19)</f>
        <v>-57153.259999999995</v>
      </c>
      <c r="AA20" s="125">
        <f>100/Z$9*Z20</f>
        <v>-3.9748232987554784</v>
      </c>
      <c r="AB20" s="118">
        <f>SUM(AB11:AB19)</f>
        <v>-81769.299999999988</v>
      </c>
      <c r="AC20" s="126">
        <f>100/AB$9*AB20</f>
        <v>-4.5477258745526354</v>
      </c>
      <c r="AE20" s="118">
        <f>SUM(AE11:AE19)</f>
        <v>-102250</v>
      </c>
      <c r="AF20" s="126">
        <f>100/AE$9*AE20</f>
        <v>-4.6477272727272725</v>
      </c>
      <c r="AG20" s="142"/>
    </row>
    <row r="21" spans="2:35" x14ac:dyDescent="0.25">
      <c r="C21" s="2" t="s">
        <v>10</v>
      </c>
      <c r="R21" s="4"/>
      <c r="T21" s="4"/>
      <c r="U21" s="4"/>
      <c r="V21" s="4"/>
      <c r="Z21" s="116"/>
      <c r="AB21" s="116"/>
      <c r="AE21" s="116"/>
      <c r="AG21" s="142"/>
    </row>
    <row r="22" spans="2:35" x14ac:dyDescent="0.25">
      <c r="D22" s="3" t="s">
        <v>90</v>
      </c>
      <c r="F22" s="4">
        <v>150</v>
      </c>
      <c r="G22" s="4">
        <v>150</v>
      </c>
      <c r="I22" s="19">
        <v>150</v>
      </c>
      <c r="J22" s="4">
        <v>97.5</v>
      </c>
      <c r="L22" s="19">
        <v>100</v>
      </c>
      <c r="M22" s="19">
        <f>100+175.26</f>
        <v>275.26</v>
      </c>
      <c r="N22" s="4">
        <v>304.77999999999997</v>
      </c>
      <c r="P22" s="4">
        <v>367.01333333333332</v>
      </c>
      <c r="Q22" s="19">
        <v>100</v>
      </c>
      <c r="R22" s="4">
        <v>743.28</v>
      </c>
      <c r="T22" s="4">
        <f>100+613.78</f>
        <v>713.78</v>
      </c>
      <c r="U22" s="4">
        <v>100</v>
      </c>
      <c r="V22" s="4">
        <f>100+857.53</f>
        <v>957.53</v>
      </c>
      <c r="X22" s="4">
        <v>100</v>
      </c>
      <c r="Y22" s="92">
        <f>X22/2</f>
        <v>50</v>
      </c>
      <c r="Z22" s="116">
        <v>125</v>
      </c>
      <c r="AB22" s="116">
        <v>2095.98</v>
      </c>
      <c r="AE22" s="116">
        <v>1000</v>
      </c>
      <c r="AG22" s="142"/>
      <c r="AH22" s="151" t="s">
        <v>219</v>
      </c>
    </row>
    <row r="23" spans="2:35" x14ac:dyDescent="0.25">
      <c r="F23" s="8">
        <f t="shared" ref="F23:R23" si="3">F22</f>
        <v>150</v>
      </c>
      <c r="G23" s="8">
        <f t="shared" si="3"/>
        <v>150</v>
      </c>
      <c r="H23" s="126">
        <f>100/G$9*G23</f>
        <v>8.6108108776493213E-3</v>
      </c>
      <c r="I23" s="21">
        <f t="shared" si="3"/>
        <v>150</v>
      </c>
      <c r="J23" s="8">
        <f>J22</f>
        <v>97.5</v>
      </c>
      <c r="K23" s="126">
        <f>100/J$9*J23</f>
        <v>5.1899549874405487E-3</v>
      </c>
      <c r="L23" s="21">
        <f t="shared" si="3"/>
        <v>100</v>
      </c>
      <c r="M23" s="8">
        <f t="shared" si="3"/>
        <v>275.26</v>
      </c>
      <c r="N23" s="8">
        <f t="shared" si="3"/>
        <v>304.77999999999997</v>
      </c>
      <c r="O23" s="126">
        <f>100/N$9*N23</f>
        <v>1.4180954516521647E-2</v>
      </c>
      <c r="P23" s="8">
        <f t="shared" si="3"/>
        <v>367.01333333333332</v>
      </c>
      <c r="Q23" s="8">
        <f t="shared" si="3"/>
        <v>100</v>
      </c>
      <c r="R23" s="8">
        <f t="shared" si="3"/>
        <v>743.28</v>
      </c>
      <c r="S23" s="126">
        <f>100/R$9*R23</f>
        <v>3.0914809593796087E-2</v>
      </c>
      <c r="T23" s="8">
        <f t="shared" ref="T23:V23" si="4">T22</f>
        <v>713.78</v>
      </c>
      <c r="U23" s="8">
        <f t="shared" si="4"/>
        <v>100</v>
      </c>
      <c r="V23" s="8">
        <f t="shared" si="4"/>
        <v>957.53</v>
      </c>
      <c r="W23" s="126">
        <f>100/$V$9*V23</f>
        <v>3.1254992277761719E-2</v>
      </c>
      <c r="X23" s="8">
        <f t="shared" ref="X23" si="5">X22</f>
        <v>100</v>
      </c>
      <c r="Y23" s="95">
        <f t="shared" ref="Y23:Z23" si="6">Y22</f>
        <v>50</v>
      </c>
      <c r="Z23" s="118">
        <f t="shared" si="6"/>
        <v>125</v>
      </c>
      <c r="AA23" s="125">
        <f>100/Z$9*Z23</f>
        <v>8.6933433428720407E-3</v>
      </c>
      <c r="AB23" s="118">
        <f t="shared" ref="AB23" si="7">AB22</f>
        <v>2095.98</v>
      </c>
      <c r="AC23" s="126">
        <f>100/AB$9*AB23</f>
        <v>0.11657116397651483</v>
      </c>
      <c r="AE23" s="118">
        <f t="shared" ref="AE23" si="8">AE22</f>
        <v>1000</v>
      </c>
      <c r="AF23" s="126">
        <f>100/AE$9*AE23</f>
        <v>4.5454545454545449E-2</v>
      </c>
      <c r="AG23" s="142"/>
    </row>
    <row r="24" spans="2:35" x14ac:dyDescent="0.25">
      <c r="AG24" s="142"/>
    </row>
    <row r="25" spans="2:35" x14ac:dyDescent="0.25">
      <c r="B25" s="9" t="s">
        <v>11</v>
      </c>
      <c r="C25" s="9"/>
      <c r="D25" s="10"/>
      <c r="E25" s="11"/>
      <c r="F25" s="8">
        <f t="shared" ref="F25:P25" si="9">F9+F20+F23</f>
        <v>1682588.29</v>
      </c>
      <c r="G25" s="8">
        <f>G9+G20+G23</f>
        <v>1696588.29</v>
      </c>
      <c r="H25" s="126">
        <f>100/G$9*G25</f>
        <v>97.393339349496401</v>
      </c>
      <c r="I25" s="21">
        <f t="shared" si="9"/>
        <v>1936950</v>
      </c>
      <c r="J25" s="8">
        <f>J9+J20+J23</f>
        <v>1790815.07</v>
      </c>
      <c r="K25" s="126">
        <f>100/J$9*J25</f>
        <v>95.325636965437894</v>
      </c>
      <c r="L25" s="21">
        <f t="shared" si="9"/>
        <v>1922950</v>
      </c>
      <c r="M25" s="8">
        <f t="shared" si="9"/>
        <v>1544083.27</v>
      </c>
      <c r="N25" s="8">
        <f>N9+N20+N23</f>
        <v>2021178.0699999998</v>
      </c>
      <c r="O25" s="126">
        <f>100/N$9*N25</f>
        <v>94.042372466897461</v>
      </c>
      <c r="P25" s="8">
        <f t="shared" si="9"/>
        <v>2363178.92</v>
      </c>
      <c r="Q25" s="8">
        <f>Q9+Q20+Q23</f>
        <v>1794204.9700000002</v>
      </c>
      <c r="R25" s="8">
        <f>R9+R20+R23</f>
        <v>2242355.1999999997</v>
      </c>
      <c r="S25" s="126">
        <f>100/R$9*R25</f>
        <v>93.264966163032156</v>
      </c>
      <c r="T25" s="8">
        <f>T9+T20+T23</f>
        <v>2441564.1199999996</v>
      </c>
      <c r="U25" s="8">
        <f>U9+U20+U23</f>
        <v>2408611.7899999996</v>
      </c>
      <c r="V25" s="8">
        <f>V9+V20+V23</f>
        <v>2844854.01</v>
      </c>
      <c r="W25" s="126">
        <f>100/$V$9*V25</f>
        <v>92.859638981451724</v>
      </c>
      <c r="X25" s="8">
        <f>X9+X20+X23</f>
        <v>2309950</v>
      </c>
      <c r="Y25" s="95">
        <f>Y9+Y20+Y23</f>
        <v>1154975</v>
      </c>
      <c r="Z25" s="118">
        <f>Z9+Z20+Z23</f>
        <v>1380853.52</v>
      </c>
      <c r="AA25" s="125">
        <f>100/Z$9*Z25</f>
        <v>96.033870044587388</v>
      </c>
      <c r="AB25" s="118">
        <f>AB9+AB20+AB23</f>
        <v>1718352.8199999998</v>
      </c>
      <c r="AC25" s="126">
        <f>100/AB$9*AB25</f>
        <v>95.568845289423876</v>
      </c>
      <c r="AE25" s="118">
        <f>AE9+AE20+AE23</f>
        <v>2098750</v>
      </c>
      <c r="AF25" s="126">
        <f>100/AE$9*AE25</f>
        <v>95.397727272727266</v>
      </c>
      <c r="AG25" s="142"/>
      <c r="AI25" s="29"/>
    </row>
    <row r="26" spans="2:35" x14ac:dyDescent="0.25">
      <c r="AG26" s="142"/>
    </row>
    <row r="27" spans="2:35" x14ac:dyDescent="0.25">
      <c r="B27" s="7" t="s">
        <v>12</v>
      </c>
      <c r="AG27" s="142"/>
    </row>
    <row r="28" spans="2:35" x14ac:dyDescent="0.25">
      <c r="B28" s="2"/>
      <c r="AG28" s="142"/>
    </row>
    <row r="29" spans="2:35" x14ac:dyDescent="0.25">
      <c r="C29" s="2" t="s">
        <v>13</v>
      </c>
      <c r="AG29" s="142"/>
    </row>
    <row r="30" spans="2:35" x14ac:dyDescent="0.25">
      <c r="D30" s="3" t="s">
        <v>14</v>
      </c>
      <c r="F30" s="4">
        <f>175590.85+1926.29</f>
        <v>177517.14</v>
      </c>
      <c r="G30" s="4">
        <f>175590.85+1926.29</f>
        <v>177517.14</v>
      </c>
      <c r="I30" s="19">
        <v>200000</v>
      </c>
      <c r="J30" s="4">
        <f>204908.68+16292.37</f>
        <v>221201.05</v>
      </c>
      <c r="L30" s="19">
        <v>200000</v>
      </c>
      <c r="M30" s="19">
        <f>114991.76+1420.32</f>
        <v>116412.08</v>
      </c>
      <c r="N30" s="4">
        <f>146198.44+1492.33</f>
        <v>147690.76999999999</v>
      </c>
      <c r="P30" s="4">
        <v>155360.44</v>
      </c>
      <c r="Q30" s="19">
        <f>145473.53+1702.63</f>
        <v>147176.16</v>
      </c>
      <c r="R30" s="4">
        <f>157831.08+1770.14</f>
        <v>159601.22</v>
      </c>
      <c r="T30" s="4">
        <f>157831.08+1770.14</f>
        <v>159601.22</v>
      </c>
      <c r="U30" s="4">
        <f>557358.5+1598.28</f>
        <v>558956.78</v>
      </c>
      <c r="V30" s="4">
        <f>598005.26+1598.28</f>
        <v>599603.54</v>
      </c>
      <c r="X30" s="4">
        <v>160000</v>
      </c>
      <c r="Y30" s="92">
        <f>X30/2</f>
        <v>80000</v>
      </c>
      <c r="Z30" s="116">
        <f>99765.09+16415.04</f>
        <v>116180.13</v>
      </c>
      <c r="AB30" s="116">
        <f>115017.29+16475.43</f>
        <v>131492.72</v>
      </c>
      <c r="AE30" s="116">
        <v>140000</v>
      </c>
      <c r="AG30" s="142"/>
      <c r="AH30" s="151" t="s">
        <v>220</v>
      </c>
    </row>
    <row r="31" spans="2:35" x14ac:dyDescent="0.25">
      <c r="D31" s="3" t="s">
        <v>15</v>
      </c>
      <c r="F31" s="4">
        <v>718532.46</v>
      </c>
      <c r="G31" s="4">
        <v>718532.46</v>
      </c>
      <c r="I31" s="19">
        <v>900000</v>
      </c>
      <c r="J31" s="4">
        <f>569933.84+4611.59</f>
        <v>574545.42999999993</v>
      </c>
      <c r="L31" s="19">
        <v>750000</v>
      </c>
      <c r="M31" s="19">
        <f>567811.66+84406.9</f>
        <v>652218.56000000006</v>
      </c>
      <c r="N31" s="4">
        <f>732983.55+84406.78</f>
        <v>817390.33000000007</v>
      </c>
      <c r="P31" s="4">
        <v>869786.77333333343</v>
      </c>
      <c r="Q31" s="19">
        <f>635122.26+43825.87</f>
        <v>678948.13</v>
      </c>
      <c r="R31" s="4">
        <f>860777.02+43825.87</f>
        <v>904602.89</v>
      </c>
      <c r="T31" s="4">
        <f>860777.02+43825.87</f>
        <v>904602.89</v>
      </c>
      <c r="U31" s="4">
        <f>757308.71+18976.32</f>
        <v>776285.02999999991</v>
      </c>
      <c r="V31" s="4">
        <f>880694.17+18976.32</f>
        <v>899670.49</v>
      </c>
      <c r="X31" s="4">
        <v>880000</v>
      </c>
      <c r="Y31" s="92">
        <f>X31/2</f>
        <v>440000</v>
      </c>
      <c r="Z31" s="116">
        <f>413796.32+40385.3</f>
        <v>454181.62</v>
      </c>
      <c r="AB31" s="116">
        <f>485312.7+102553.13</f>
        <v>587865.83000000007</v>
      </c>
      <c r="AE31" s="116">
        <v>700000</v>
      </c>
      <c r="AG31" s="142"/>
    </row>
    <row r="32" spans="2:35" x14ac:dyDescent="0.25">
      <c r="D32" s="3" t="s">
        <v>16</v>
      </c>
      <c r="F32" s="16">
        <v>75799.87</v>
      </c>
      <c r="G32" s="16">
        <v>44046.87</v>
      </c>
      <c r="I32" s="16">
        <v>0</v>
      </c>
      <c r="J32" s="16">
        <v>65753</v>
      </c>
      <c r="L32" s="16">
        <v>0</v>
      </c>
      <c r="M32" s="16">
        <v>-87000</v>
      </c>
      <c r="N32" s="16">
        <v>-14676</v>
      </c>
      <c r="P32" s="16">
        <v>0</v>
      </c>
      <c r="Q32" s="16">
        <v>-45134</v>
      </c>
      <c r="R32" s="16">
        <v>-85324</v>
      </c>
      <c r="T32" s="16">
        <v>0</v>
      </c>
      <c r="U32" s="16">
        <v>-25000</v>
      </c>
      <c r="V32" s="16">
        <v>16000</v>
      </c>
      <c r="X32" s="4">
        <v>0</v>
      </c>
      <c r="Y32" s="92">
        <v>0</v>
      </c>
      <c r="Z32" s="119">
        <v>-69000</v>
      </c>
      <c r="AB32" s="100">
        <v>13678.13</v>
      </c>
      <c r="AE32" s="119">
        <v>0</v>
      </c>
      <c r="AG32" s="142"/>
      <c r="AI32" s="14"/>
    </row>
    <row r="33" spans="3:34" x14ac:dyDescent="0.25">
      <c r="F33" s="8">
        <f t="shared" ref="F33:M33" si="10">SUM(F30:F32)</f>
        <v>971849.47</v>
      </c>
      <c r="G33" s="8">
        <f>SUM(G30:G32)</f>
        <v>940096.47</v>
      </c>
      <c r="H33" s="126">
        <f>100/G$9*G33</f>
        <v>53.966619399438187</v>
      </c>
      <c r="I33" s="21">
        <f t="shared" si="10"/>
        <v>1100000</v>
      </c>
      <c r="J33" s="8">
        <f>SUM(J30:J32)</f>
        <v>861499.48</v>
      </c>
      <c r="K33" s="126">
        <f>100/J$9*J33</f>
        <v>45.857882286189117</v>
      </c>
      <c r="L33" s="21">
        <f t="shared" si="10"/>
        <v>950000</v>
      </c>
      <c r="M33" s="8">
        <f t="shared" si="10"/>
        <v>681630.64</v>
      </c>
      <c r="N33" s="8">
        <f>SUM(N30:N32)</f>
        <v>950405.10000000009</v>
      </c>
      <c r="O33" s="126">
        <f>100/N$9*N33</f>
        <v>44.220918352156346</v>
      </c>
      <c r="P33" s="8">
        <f t="shared" ref="P33" si="11">SUM(P30:P32)</f>
        <v>1025147.2133333334</v>
      </c>
      <c r="Q33" s="8">
        <f>SUM(Q30:Q32)</f>
        <v>780990.29</v>
      </c>
      <c r="R33" s="8">
        <f>SUM(R30:R32)</f>
        <v>978880.1100000001</v>
      </c>
      <c r="S33" s="126">
        <f>100/R$9*R33</f>
        <v>40.713986944091289</v>
      </c>
      <c r="T33" s="8">
        <f>SUM(T30:T32)</f>
        <v>1064204.1100000001</v>
      </c>
      <c r="U33" s="8">
        <f>SUM(U30:U32)</f>
        <v>1310241.81</v>
      </c>
      <c r="V33" s="8">
        <f>SUM(V30:V32)</f>
        <v>1515274.03</v>
      </c>
      <c r="W33" s="126">
        <f>100/$V$9*V33</f>
        <v>49.460464012973887</v>
      </c>
      <c r="X33" s="8">
        <f>SUM(X30:X32)</f>
        <v>1040000</v>
      </c>
      <c r="Y33" s="95">
        <f>SUM(Y30:Y32)</f>
        <v>520000</v>
      </c>
      <c r="Z33" s="118">
        <f>SUM(Z30:Z32)</f>
        <v>501361.75</v>
      </c>
      <c r="AA33" s="125">
        <f>100/Z$9*Z33</f>
        <v>34.86807865386541</v>
      </c>
      <c r="AB33" s="118">
        <f>SUM(AB30:AB32)</f>
        <v>733036.68</v>
      </c>
      <c r="AC33" s="126">
        <f>100/AB$9*AB33</f>
        <v>40.76896679599998</v>
      </c>
      <c r="AE33" s="118">
        <f>SUM(AE30:AE32)</f>
        <v>840000</v>
      </c>
      <c r="AF33" s="126">
        <f>100/AE$9*AE33</f>
        <v>38.18181818181818</v>
      </c>
      <c r="AG33" s="142"/>
    </row>
    <row r="34" spans="3:34" x14ac:dyDescent="0.25">
      <c r="C34" s="2" t="s">
        <v>17</v>
      </c>
      <c r="I34" s="22"/>
      <c r="J34" s="12"/>
      <c r="L34" s="22"/>
      <c r="M34" s="22"/>
      <c r="N34" s="12"/>
      <c r="P34" s="12"/>
      <c r="Q34" s="22"/>
      <c r="R34" s="24"/>
      <c r="T34" s="24"/>
      <c r="U34" s="24"/>
      <c r="V34" s="24"/>
      <c r="X34" s="12"/>
      <c r="Y34" s="96"/>
      <c r="Z34" s="120"/>
      <c r="AB34" s="120"/>
      <c r="AE34" s="120"/>
      <c r="AG34" s="142"/>
    </row>
    <row r="35" spans="3:34" x14ac:dyDescent="0.25">
      <c r="D35" s="3" t="s">
        <v>18</v>
      </c>
      <c r="F35" s="4">
        <v>2438.96</v>
      </c>
      <c r="G35" s="4">
        <v>2438.96</v>
      </c>
      <c r="I35" s="19">
        <v>500</v>
      </c>
      <c r="J35" s="4">
        <v>346.69</v>
      </c>
      <c r="L35" s="19">
        <v>500</v>
      </c>
      <c r="M35" s="19">
        <v>139.88</v>
      </c>
      <c r="N35" s="4">
        <v>1716.61</v>
      </c>
      <c r="P35" s="4">
        <v>186.50666666666666</v>
      </c>
      <c r="Q35" s="19">
        <v>1190.67</v>
      </c>
      <c r="R35" s="4">
        <v>1453.87</v>
      </c>
      <c r="T35" s="4">
        <v>1543.87</v>
      </c>
      <c r="U35" s="4">
        <v>720.9</v>
      </c>
      <c r="V35" s="4">
        <v>867.3</v>
      </c>
      <c r="X35" s="4">
        <v>1000</v>
      </c>
      <c r="Y35" s="92">
        <f>X35/2</f>
        <v>500</v>
      </c>
      <c r="Z35" s="116">
        <v>856.07</v>
      </c>
      <c r="AB35" s="116">
        <v>1160.07</v>
      </c>
      <c r="AE35" s="116">
        <v>1200</v>
      </c>
      <c r="AG35" s="142"/>
    </row>
    <row r="36" spans="3:34" x14ac:dyDescent="0.25">
      <c r="F36" s="8">
        <f t="shared" ref="F36:R36" si="12">F35</f>
        <v>2438.96</v>
      </c>
      <c r="G36" s="8">
        <f>G35</f>
        <v>2438.96</v>
      </c>
      <c r="H36" s="126">
        <f>100/G$9*G36</f>
        <v>0.14000948865434393</v>
      </c>
      <c r="I36" s="21">
        <f t="shared" si="12"/>
        <v>500</v>
      </c>
      <c r="J36" s="8">
        <f>J35</f>
        <v>346.69</v>
      </c>
      <c r="K36" s="126">
        <f>100/J$9*J36</f>
        <v>1.8454415329187322E-2</v>
      </c>
      <c r="L36" s="21">
        <f t="shared" si="12"/>
        <v>500</v>
      </c>
      <c r="M36" s="8">
        <f t="shared" si="12"/>
        <v>139.88</v>
      </c>
      <c r="N36" s="8">
        <f t="shared" si="12"/>
        <v>1716.61</v>
      </c>
      <c r="O36" s="126">
        <f>100/N$9*N36</f>
        <v>7.9871278734189338E-2</v>
      </c>
      <c r="P36" s="8">
        <f t="shared" si="12"/>
        <v>186.50666666666666</v>
      </c>
      <c r="Q36" s="8">
        <f t="shared" si="12"/>
        <v>1190.67</v>
      </c>
      <c r="R36" s="8">
        <f t="shared" si="12"/>
        <v>1453.87</v>
      </c>
      <c r="S36" s="126">
        <f>100/R$9*R36</f>
        <v>6.0469963168835857E-2</v>
      </c>
      <c r="T36" s="8">
        <f t="shared" ref="T36:U36" si="13">T35</f>
        <v>1543.87</v>
      </c>
      <c r="U36" s="8">
        <f t="shared" si="13"/>
        <v>720.9</v>
      </c>
      <c r="V36" s="8">
        <f>V35</f>
        <v>867.3</v>
      </c>
      <c r="W36" s="126">
        <f>100/$V$9*V36</f>
        <v>2.830977076697622E-2</v>
      </c>
      <c r="X36" s="8">
        <f>X35</f>
        <v>1000</v>
      </c>
      <c r="Y36" s="95">
        <f t="shared" ref="Y36:Z36" si="14">Y35</f>
        <v>500</v>
      </c>
      <c r="Z36" s="118">
        <f t="shared" si="14"/>
        <v>856.07</v>
      </c>
      <c r="AA36" s="125">
        <f>100/Z$9*Z36</f>
        <v>5.9536883484259742E-2</v>
      </c>
      <c r="AB36" s="118">
        <f t="shared" ref="AB36" si="15">AB35</f>
        <v>1160.07</v>
      </c>
      <c r="AC36" s="126">
        <f>100/AB$9*AB36</f>
        <v>6.4519084244236843E-2</v>
      </c>
      <c r="AE36" s="118">
        <f t="shared" ref="AE36" si="16">AE35</f>
        <v>1200</v>
      </c>
      <c r="AF36" s="126">
        <f>100/AE$9*AE36</f>
        <v>5.4545454545454543E-2</v>
      </c>
      <c r="AG36" s="142"/>
    </row>
    <row r="37" spans="3:34" x14ac:dyDescent="0.25">
      <c r="C37" s="2" t="s">
        <v>19</v>
      </c>
      <c r="AG37" s="142"/>
    </row>
    <row r="38" spans="3:34" x14ac:dyDescent="0.25">
      <c r="D38" s="3" t="s">
        <v>20</v>
      </c>
      <c r="F38" s="4">
        <v>1823.98</v>
      </c>
      <c r="G38" s="4">
        <v>1823.98</v>
      </c>
      <c r="I38" s="19">
        <v>750</v>
      </c>
      <c r="J38" s="4">
        <v>2665.51</v>
      </c>
      <c r="L38" s="19">
        <v>3000</v>
      </c>
      <c r="M38" s="19">
        <v>5810.12</v>
      </c>
      <c r="N38" s="4">
        <v>5994.87</v>
      </c>
      <c r="P38" s="4">
        <v>6500</v>
      </c>
      <c r="Q38" s="19">
        <v>1073.72</v>
      </c>
      <c r="R38" s="4">
        <v>1205.32</v>
      </c>
      <c r="T38" s="4">
        <v>1205.32</v>
      </c>
      <c r="U38" s="4">
        <v>1229.3</v>
      </c>
      <c r="V38" s="4">
        <v>1606</v>
      </c>
      <c r="X38" s="4">
        <v>1500</v>
      </c>
      <c r="Y38" s="92">
        <f>X38/2</f>
        <v>750</v>
      </c>
      <c r="Z38" s="116">
        <v>1411.91</v>
      </c>
      <c r="AB38" s="116">
        <v>1547.31</v>
      </c>
      <c r="AE38" s="116">
        <v>1600</v>
      </c>
      <c r="AG38" s="142"/>
    </row>
    <row r="39" spans="3:34" x14ac:dyDescent="0.25">
      <c r="D39" s="3" t="s">
        <v>21</v>
      </c>
      <c r="F39" s="4">
        <v>95740.46</v>
      </c>
      <c r="G39" s="4">
        <v>95740.46</v>
      </c>
      <c r="I39" s="19">
        <v>100000</v>
      </c>
      <c r="J39" s="4">
        <v>112112.96000000001</v>
      </c>
      <c r="L39" s="19">
        <v>115000</v>
      </c>
      <c r="M39" s="19">
        <f>101653.37+15564.63</f>
        <v>117218</v>
      </c>
      <c r="N39" s="4">
        <f>127382.04+15564.63</f>
        <v>142946.66999999998</v>
      </c>
      <c r="P39" s="4">
        <v>156346.29333333333</v>
      </c>
      <c r="Q39" s="19">
        <v>175774.54</v>
      </c>
      <c r="R39" s="4">
        <v>216910.51</v>
      </c>
      <c r="T39" s="4">
        <v>216910.51</v>
      </c>
      <c r="U39" s="4">
        <v>167604.49</v>
      </c>
      <c r="V39" s="4">
        <v>191141.79</v>
      </c>
      <c r="X39" s="4">
        <v>250000</v>
      </c>
      <c r="Y39" s="92">
        <f>X39/2</f>
        <v>125000</v>
      </c>
      <c r="Z39" s="116">
        <f>103081.78+65.98</f>
        <v>103147.76</v>
      </c>
      <c r="AB39" s="116">
        <f>120096.82+65.98</f>
        <v>120162.8</v>
      </c>
      <c r="AE39" s="116">
        <v>135000</v>
      </c>
      <c r="AG39" s="142"/>
    </row>
    <row r="40" spans="3:34" x14ac:dyDescent="0.25">
      <c r="D40" s="3" t="s">
        <v>22</v>
      </c>
      <c r="F40" s="4">
        <v>3158.33</v>
      </c>
      <c r="G40" s="4">
        <v>3158.33</v>
      </c>
      <c r="I40" s="19">
        <v>4000</v>
      </c>
      <c r="J40" s="4">
        <v>3440.9</v>
      </c>
      <c r="L40" s="19">
        <v>3500</v>
      </c>
      <c r="M40" s="19">
        <v>4435.95</v>
      </c>
      <c r="N40" s="4">
        <v>6014.7</v>
      </c>
      <c r="P40" s="4">
        <v>6000</v>
      </c>
      <c r="Q40" s="19">
        <v>4532.03</v>
      </c>
      <c r="R40" s="4">
        <v>5687.48</v>
      </c>
      <c r="T40" s="4">
        <v>5687.48</v>
      </c>
      <c r="U40" s="4">
        <v>3653.24</v>
      </c>
      <c r="V40" s="4">
        <v>4185.7299999999996</v>
      </c>
      <c r="X40" s="4">
        <v>5000</v>
      </c>
      <c r="Y40" s="92">
        <f>X40/2</f>
        <v>2500</v>
      </c>
      <c r="Z40" s="116">
        <v>1837.95</v>
      </c>
      <c r="AB40" s="116">
        <v>2449.98</v>
      </c>
      <c r="AE40" s="116">
        <v>2500</v>
      </c>
      <c r="AG40" s="142"/>
    </row>
    <row r="41" spans="3:34" x14ac:dyDescent="0.25">
      <c r="D41" s="3" t="s">
        <v>79</v>
      </c>
      <c r="F41" s="4">
        <v>364</v>
      </c>
      <c r="G41" s="4">
        <v>364</v>
      </c>
      <c r="I41" s="19">
        <v>300</v>
      </c>
      <c r="J41" s="4">
        <f>449.84-866.72</f>
        <v>-416.88000000000005</v>
      </c>
      <c r="L41" s="19">
        <v>-500</v>
      </c>
      <c r="M41" s="19">
        <v>0</v>
      </c>
      <c r="P41" s="4">
        <v>0</v>
      </c>
      <c r="Q41" s="19">
        <f>336.25-0.02</f>
        <v>336.23</v>
      </c>
      <c r="R41" s="4">
        <v>336.25</v>
      </c>
      <c r="T41" s="4"/>
      <c r="U41" s="4">
        <v>0</v>
      </c>
      <c r="V41" s="4"/>
      <c r="Z41" s="116"/>
      <c r="AB41" s="116"/>
      <c r="AE41" s="116"/>
      <c r="AG41" s="142"/>
      <c r="AH41" s="151" t="s">
        <v>221</v>
      </c>
    </row>
    <row r="42" spans="3:34" x14ac:dyDescent="0.25">
      <c r="D42" s="3" t="s">
        <v>23</v>
      </c>
      <c r="F42" s="16">
        <v>0</v>
      </c>
      <c r="G42" s="4">
        <v>0</v>
      </c>
      <c r="P42" s="4">
        <v>0</v>
      </c>
      <c r="R42" s="4"/>
      <c r="T42" s="4"/>
      <c r="U42" s="4"/>
      <c r="V42" s="4"/>
      <c r="Z42" s="116"/>
      <c r="AB42" s="116"/>
      <c r="AE42" s="116"/>
      <c r="AG42" s="142"/>
    </row>
    <row r="43" spans="3:34" x14ac:dyDescent="0.25">
      <c r="F43" s="8">
        <f t="shared" ref="F43:N43" si="17">SUM(F38:F42)</f>
        <v>101086.77</v>
      </c>
      <c r="G43" s="8">
        <f>SUM(G38:G42)</f>
        <v>101086.77</v>
      </c>
      <c r="H43" s="126">
        <f>100/G$9*G43</f>
        <v>5.802927058016234</v>
      </c>
      <c r="I43" s="21">
        <f t="shared" si="17"/>
        <v>105050</v>
      </c>
      <c r="J43" s="8">
        <f>SUM(J38:J42)</f>
        <v>117802.48999999999</v>
      </c>
      <c r="K43" s="126">
        <f>100/J$9*J43</f>
        <v>6.2706627744452854</v>
      </c>
      <c r="L43" s="21">
        <f t="shared" si="17"/>
        <v>121000</v>
      </c>
      <c r="M43" s="8">
        <f t="shared" si="17"/>
        <v>127464.06999999999</v>
      </c>
      <c r="N43" s="8">
        <f t="shared" si="17"/>
        <v>154956.24</v>
      </c>
      <c r="O43" s="126">
        <f>100/N$9*N43</f>
        <v>7.2098805416733791</v>
      </c>
      <c r="P43" s="8">
        <f t="shared" ref="P43" si="18">SUM(P38:P42)</f>
        <v>168846.29333333333</v>
      </c>
      <c r="Q43" s="8">
        <f>SUM(Q38:Q42)</f>
        <v>181716.52000000002</v>
      </c>
      <c r="R43" s="8">
        <f>SUM(R38:R42)</f>
        <v>224139.56000000003</v>
      </c>
      <c r="S43" s="126">
        <f>100/R$9*R43</f>
        <v>9.3225054082408185</v>
      </c>
      <c r="T43" s="8">
        <f>SUM(T38:T42)</f>
        <v>223803.31000000003</v>
      </c>
      <c r="U43" s="8">
        <f>SUM(U38:U42)</f>
        <v>172487.02999999997</v>
      </c>
      <c r="V43" s="8">
        <f>SUM(V38:V42)</f>
        <v>196933.52000000002</v>
      </c>
      <c r="W43" s="126">
        <f>100/$V$9*V43</f>
        <v>6.4281595843810999</v>
      </c>
      <c r="X43" s="8">
        <f>SUM(X38:X42)</f>
        <v>256500</v>
      </c>
      <c r="Y43" s="95">
        <f>SUM(Y38:Y42)</f>
        <v>128250</v>
      </c>
      <c r="Z43" s="118">
        <f>SUM(Z38:Z42)</f>
        <v>106397.62</v>
      </c>
      <c r="AA43" s="125">
        <f>100/Z$9*Z43</f>
        <v>7.3996083321954318</v>
      </c>
      <c r="AB43" s="118">
        <f>SUM(AB38:AB42)</f>
        <v>124160.09</v>
      </c>
      <c r="AC43" s="126">
        <f>100/AB$9*AB43</f>
        <v>6.9053551134690405</v>
      </c>
      <c r="AE43" s="118">
        <f>SUM(AE38:AE42)</f>
        <v>139100</v>
      </c>
      <c r="AF43" s="126">
        <f>100/AE$9*AE43</f>
        <v>6.3227272727272723</v>
      </c>
      <c r="AG43" s="142"/>
    </row>
    <row r="44" spans="3:34" x14ac:dyDescent="0.25">
      <c r="C44" s="2" t="s">
        <v>24</v>
      </c>
      <c r="F44" s="12"/>
      <c r="G44" s="12"/>
      <c r="I44" s="22"/>
      <c r="J44" s="12"/>
      <c r="L44" s="22"/>
      <c r="M44" s="22"/>
      <c r="N44" s="12"/>
      <c r="P44" s="12"/>
      <c r="Q44" s="22"/>
      <c r="R44" s="24"/>
      <c r="T44" s="24"/>
      <c r="U44" s="24"/>
      <c r="V44" s="24"/>
      <c r="X44" s="12"/>
      <c r="Y44" s="96"/>
      <c r="Z44" s="120"/>
      <c r="AB44" s="120"/>
      <c r="AE44" s="120"/>
      <c r="AG44" s="142"/>
    </row>
    <row r="45" spans="3:34" x14ac:dyDescent="0.25">
      <c r="D45" s="3" t="s">
        <v>25</v>
      </c>
      <c r="F45" s="4">
        <f>-(1315.95+0.05+291.83+0.02)</f>
        <v>-1607.85</v>
      </c>
      <c r="G45" s="4">
        <f>-(1315.95+0.05+291.83+0.02)</f>
        <v>-1607.85</v>
      </c>
      <c r="I45" s="19">
        <v>-1500</v>
      </c>
      <c r="J45" s="4">
        <f>-(1011.33+3.25+340.59)</f>
        <v>-1355.17</v>
      </c>
      <c r="L45" s="19">
        <v>-1500</v>
      </c>
      <c r="M45" s="19">
        <f>-(663.3-0.01+1172.5)</f>
        <v>-1835.79</v>
      </c>
      <c r="N45" s="4">
        <f>-(785.3-0.01+1704.65)</f>
        <v>-2489.94</v>
      </c>
      <c r="P45" s="4">
        <v>-2447.7199999999998</v>
      </c>
      <c r="Q45" s="19">
        <f>-(102.61+608.97)</f>
        <v>-711.58</v>
      </c>
      <c r="R45" s="4">
        <f>-(161.81+573.09)</f>
        <v>-734.90000000000009</v>
      </c>
      <c r="T45" s="4">
        <f>-(161.81+573.09)</f>
        <v>-734.90000000000009</v>
      </c>
      <c r="U45" s="4">
        <f>-(2051.87+277.55)</f>
        <v>-2329.42</v>
      </c>
      <c r="V45" s="4">
        <f>-(2307.57+67.98+344.7)</f>
        <v>-2720.25</v>
      </c>
      <c r="X45" s="4">
        <v>-2500</v>
      </c>
      <c r="Y45" s="92">
        <f>X45/2</f>
        <v>-1250</v>
      </c>
      <c r="Z45" s="116">
        <f>-666.56-65.49</f>
        <v>-732.05</v>
      </c>
      <c r="AB45" s="116">
        <f>-955.55-47.82</f>
        <v>-1003.37</v>
      </c>
      <c r="AE45" s="116">
        <v>-1000</v>
      </c>
      <c r="AG45" s="142"/>
    </row>
    <row r="46" spans="3:34" x14ac:dyDescent="0.25">
      <c r="D46" s="3" t="s">
        <v>97</v>
      </c>
      <c r="R46" s="4">
        <v>-0.02</v>
      </c>
      <c r="T46" s="4">
        <v>-0.02</v>
      </c>
      <c r="U46" s="4">
        <v>-0.02</v>
      </c>
      <c r="V46" s="4">
        <v>-0.02</v>
      </c>
      <c r="Z46" s="116">
        <v>-0.02</v>
      </c>
      <c r="AB46" s="116">
        <v>-0.02</v>
      </c>
      <c r="AE46" s="116"/>
      <c r="AG46" s="142"/>
    </row>
    <row r="47" spans="3:34" x14ac:dyDescent="0.25">
      <c r="D47" s="3" t="s">
        <v>82</v>
      </c>
      <c r="M47" s="19">
        <v>-676.7</v>
      </c>
      <c r="N47" s="4">
        <v>-676.7</v>
      </c>
      <c r="P47" s="4">
        <v>-902.26666666666677</v>
      </c>
      <c r="R47" s="4"/>
      <c r="T47" s="4"/>
      <c r="U47" s="4"/>
      <c r="V47" s="4">
        <v>0</v>
      </c>
      <c r="Z47" s="116"/>
      <c r="AB47" s="116"/>
      <c r="AE47" s="116"/>
      <c r="AG47" s="142"/>
    </row>
    <row r="48" spans="3:34" x14ac:dyDescent="0.25">
      <c r="D48" s="3" t="s">
        <v>108</v>
      </c>
      <c r="R48" s="4"/>
      <c r="T48" s="4"/>
      <c r="U48" s="4"/>
      <c r="V48" s="4">
        <v>-929.54</v>
      </c>
      <c r="Z48" s="116"/>
      <c r="AB48" s="116"/>
      <c r="AE48" s="116"/>
      <c r="AG48" s="142"/>
    </row>
    <row r="49" spans="2:35" x14ac:dyDescent="0.25">
      <c r="F49" s="8">
        <f>F45</f>
        <v>-1607.85</v>
      </c>
      <c r="G49" s="8">
        <f>SUM(G45:G47)</f>
        <v>-1607.85</v>
      </c>
      <c r="H49" s="126">
        <f>100/G$9*G49</f>
        <v>-9.2299281797523072E-2</v>
      </c>
      <c r="I49" s="21">
        <f>I45</f>
        <v>-1500</v>
      </c>
      <c r="J49" s="8">
        <f>SUM(J45:J48)</f>
        <v>-1355.17</v>
      </c>
      <c r="K49" s="126">
        <f>100/J$9*J49</f>
        <v>-7.2136115900818545E-2</v>
      </c>
      <c r="L49" s="21">
        <f>L45</f>
        <v>-1500</v>
      </c>
      <c r="M49" s="8">
        <f>M45+M47</f>
        <v>-2512.4899999999998</v>
      </c>
      <c r="N49" s="8">
        <f>SUM(N45:N48)</f>
        <v>-3166.6400000000003</v>
      </c>
      <c r="O49" s="126">
        <f>100/N$9*N49</f>
        <v>-0.147338991437096</v>
      </c>
      <c r="P49" s="8">
        <f t="shared" ref="P49" si="19">P45+P47</f>
        <v>-3349.9866666666667</v>
      </c>
      <c r="Q49" s="8">
        <f>SUM(Q45:Q47)</f>
        <v>-711.58</v>
      </c>
      <c r="R49" s="8">
        <f>SUM(R45:R47)</f>
        <v>-734.92000000000007</v>
      </c>
      <c r="S49" s="126">
        <f>100/R$9*R49</f>
        <v>-3.0567097011452781E-2</v>
      </c>
      <c r="T49" s="8">
        <f>SUM(T45:T47)</f>
        <v>-734.92000000000007</v>
      </c>
      <c r="U49" s="8">
        <f>SUM(U45:U48)</f>
        <v>-2329.44</v>
      </c>
      <c r="V49" s="8">
        <f>SUM(V45:V48)</f>
        <v>-3649.81</v>
      </c>
      <c r="W49" s="126">
        <f>100/$V$9*V49</f>
        <v>-0.11913442227950823</v>
      </c>
      <c r="X49" s="8">
        <f>SUM(X45:X48)</f>
        <v>-2500</v>
      </c>
      <c r="Y49" s="95">
        <f>SUM(Y45:Y48)</f>
        <v>-1250</v>
      </c>
      <c r="Z49" s="118">
        <f>SUM(Z45:Z48)</f>
        <v>-732.06999999999994</v>
      </c>
      <c r="AA49" s="125">
        <f>100/Z$9*Z49</f>
        <v>-5.0913086888130669E-2</v>
      </c>
      <c r="AB49" s="118">
        <f>SUM(AB45:AB48)</f>
        <v>-1003.39</v>
      </c>
      <c r="AC49" s="126">
        <f>100/AB$9*AB49</f>
        <v>-5.5805084124082867E-2</v>
      </c>
      <c r="AE49" s="118">
        <f>SUM(AE45:AE48)</f>
        <v>-1000</v>
      </c>
      <c r="AF49" s="126">
        <f>100/AE$9*AE49</f>
        <v>-4.5454545454545449E-2</v>
      </c>
      <c r="AG49" s="142"/>
    </row>
    <row r="50" spans="2:35" x14ac:dyDescent="0.25">
      <c r="AG50" s="142"/>
    </row>
    <row r="51" spans="2:35" x14ac:dyDescent="0.25">
      <c r="B51" s="9" t="s">
        <v>11</v>
      </c>
      <c r="C51" s="9"/>
      <c r="D51" s="10"/>
      <c r="E51" s="11"/>
      <c r="F51" s="8">
        <f t="shared" ref="F51:L51" si="20">F33++F36+F43+F49</f>
        <v>1073767.3499999999</v>
      </c>
      <c r="G51" s="8">
        <f>G33+G36+G43+G49</f>
        <v>1042014.35</v>
      </c>
      <c r="H51" s="126">
        <f>100/G$9*G51</f>
        <v>59.817256664311245</v>
      </c>
      <c r="I51" s="21">
        <f t="shared" si="20"/>
        <v>1204050</v>
      </c>
      <c r="J51" s="8">
        <f>J33+J36+J43+J49</f>
        <v>978293.48999999987</v>
      </c>
      <c r="K51" s="126">
        <f>100/J$9*J51</f>
        <v>52.074863360062764</v>
      </c>
      <c r="L51" s="21">
        <f t="shared" si="20"/>
        <v>1070000</v>
      </c>
      <c r="M51" s="8">
        <f>M33+M36+M43+M49</f>
        <v>806722.1</v>
      </c>
      <c r="N51" s="8">
        <f>N33+N36+N43+N49</f>
        <v>1103911.3100000003</v>
      </c>
      <c r="O51" s="126">
        <f>100/N$9*N51</f>
        <v>51.363331181126824</v>
      </c>
      <c r="P51" s="8">
        <f>P33+P36+P43+P49</f>
        <v>1190830.0266666668</v>
      </c>
      <c r="Q51" s="8">
        <f>Q33+Q36+Q43+Q49</f>
        <v>963185.90000000014</v>
      </c>
      <c r="R51" s="8">
        <f>R33+R36+R43+R49</f>
        <v>1203738.6200000001</v>
      </c>
      <c r="S51" s="126">
        <f>100/R$9*R51</f>
        <v>50.06639521848949</v>
      </c>
      <c r="T51" s="8">
        <f>T33+T36+T43+T49</f>
        <v>1288816.3700000003</v>
      </c>
      <c r="U51" s="8">
        <f>U33+U36+U43+U49</f>
        <v>1481120.3</v>
      </c>
      <c r="V51" s="8">
        <f>V33+V36+V43+V49</f>
        <v>1709425.04</v>
      </c>
      <c r="W51" s="126">
        <f>100/$V$9*V51</f>
        <v>55.797798945842452</v>
      </c>
      <c r="X51" s="8">
        <f>X33+X36+X43+X49</f>
        <v>1295000</v>
      </c>
      <c r="Y51" s="95">
        <f>Y33+Y36+Y43+Y49</f>
        <v>647500</v>
      </c>
      <c r="Z51" s="118">
        <f>Z33+Z36+Z43+Z49</f>
        <v>607883.37</v>
      </c>
      <c r="AA51" s="125">
        <f>100/Z$9*Z51</f>
        <v>42.276310782656971</v>
      </c>
      <c r="AB51" s="118">
        <f>AB33+AB36+AB43+AB49</f>
        <v>857353.45</v>
      </c>
      <c r="AC51" s="126">
        <f>100/AB$9*AB51</f>
        <v>47.683035909589165</v>
      </c>
      <c r="AE51" s="118">
        <f>AE33+AE36+AE43+AE49</f>
        <v>979300</v>
      </c>
      <c r="AF51" s="126">
        <f>100/AE$9*AE51</f>
        <v>44.513636363636358</v>
      </c>
      <c r="AG51" s="142"/>
      <c r="AI51" s="18"/>
    </row>
    <row r="52" spans="2:35" x14ac:dyDescent="0.25">
      <c r="B52" s="2"/>
      <c r="I52" s="22"/>
      <c r="J52" s="12"/>
      <c r="L52" s="22"/>
      <c r="M52" s="22"/>
      <c r="N52" s="12"/>
      <c r="P52" s="12"/>
      <c r="Q52" s="22"/>
      <c r="R52" s="24"/>
      <c r="T52" s="24"/>
      <c r="U52" s="24"/>
      <c r="V52" s="24"/>
      <c r="X52" s="12"/>
      <c r="Y52" s="96"/>
      <c r="Z52" s="120"/>
      <c r="AB52" s="120"/>
      <c r="AE52" s="120"/>
      <c r="AG52" s="142"/>
    </row>
    <row r="53" spans="2:35" s="50" customFormat="1" ht="15.75" thickBot="1" x14ac:dyDescent="0.3">
      <c r="B53" s="30" t="s">
        <v>26</v>
      </c>
      <c r="C53" s="30"/>
      <c r="F53" s="101">
        <f t="shared" ref="F53:P53" si="21">F25-F51</f>
        <v>608820.94000000018</v>
      </c>
      <c r="G53" s="101">
        <f>G25-G51</f>
        <v>654573.94000000006</v>
      </c>
      <c r="H53" s="126">
        <f>100/G$9*G53</f>
        <v>37.576082685185163</v>
      </c>
      <c r="I53" s="102">
        <f t="shared" si="21"/>
        <v>732900</v>
      </c>
      <c r="J53" s="101">
        <f>J25-J51</f>
        <v>812521.58000000019</v>
      </c>
      <c r="K53" s="126">
        <f>100/J$9*J53</f>
        <v>43.250773605375137</v>
      </c>
      <c r="L53" s="102">
        <f t="shared" si="21"/>
        <v>852950</v>
      </c>
      <c r="M53" s="101">
        <f>M25-M51</f>
        <v>737361.17</v>
      </c>
      <c r="N53" s="101">
        <f t="shared" si="21"/>
        <v>917266.75999999954</v>
      </c>
      <c r="O53" s="126">
        <f>100/N$9*N53</f>
        <v>42.67904128577063</v>
      </c>
      <c r="P53" s="101">
        <f t="shared" si="21"/>
        <v>1172348.8933333331</v>
      </c>
      <c r="Q53" s="101">
        <f>Q25-Q51</f>
        <v>831019.07000000007</v>
      </c>
      <c r="R53" s="101">
        <f>R25-R51</f>
        <v>1038616.5799999996</v>
      </c>
      <c r="S53" s="126">
        <f>100/R$9*R53</f>
        <v>43.198570944542666</v>
      </c>
      <c r="T53" s="101">
        <f>T25-T51</f>
        <v>1152747.7499999993</v>
      </c>
      <c r="U53" s="101">
        <f>U25-U51</f>
        <v>927491.48999999953</v>
      </c>
      <c r="V53" s="101">
        <f>V25-V51</f>
        <v>1135428.9699999997</v>
      </c>
      <c r="W53" s="126">
        <f>100/$V$9*V53</f>
        <v>37.061840035609265</v>
      </c>
      <c r="X53" s="101">
        <f>X25-X51</f>
        <v>1014950</v>
      </c>
      <c r="Y53" s="103">
        <f>Y25-Y51</f>
        <v>507475</v>
      </c>
      <c r="Z53" s="101">
        <f>Z25-Z51</f>
        <v>772970.15</v>
      </c>
      <c r="AA53" s="125">
        <f>100/Z$9*Z53</f>
        <v>53.757559261930417</v>
      </c>
      <c r="AB53" s="101">
        <f>AB25-AB51</f>
        <v>860999.36999999988</v>
      </c>
      <c r="AC53" s="126">
        <f>100/AB$9*AB53</f>
        <v>47.885809379834704</v>
      </c>
      <c r="AD53" s="126"/>
      <c r="AE53" s="101">
        <f>AE25-AE51</f>
        <v>1119450</v>
      </c>
      <c r="AF53" s="126">
        <f>100/AE$9*AE53</f>
        <v>50.884090909090908</v>
      </c>
      <c r="AG53" s="142"/>
      <c r="AH53" s="151"/>
      <c r="AI53" s="104"/>
    </row>
    <row r="54" spans="2:35" ht="15.75" thickTop="1" x14ac:dyDescent="0.25">
      <c r="AG54" s="142"/>
    </row>
    <row r="55" spans="2:35" x14ac:dyDescent="0.25">
      <c r="B55" s="2"/>
      <c r="I55" s="22"/>
      <c r="J55" s="12"/>
      <c r="L55" s="22"/>
      <c r="M55" s="22"/>
      <c r="N55" s="12"/>
      <c r="P55" s="12"/>
      <c r="Q55" s="22"/>
      <c r="R55" s="24"/>
      <c r="T55" s="24"/>
      <c r="U55" s="24"/>
      <c r="V55" s="24"/>
      <c r="X55" s="12"/>
      <c r="Y55" s="96"/>
      <c r="Z55" s="120"/>
      <c r="AB55" s="120">
        <v>82.95</v>
      </c>
      <c r="AE55" s="120"/>
      <c r="AG55" s="142"/>
    </row>
    <row r="56" spans="2:35" x14ac:dyDescent="0.25">
      <c r="B56" s="7" t="s">
        <v>27</v>
      </c>
      <c r="AG56" s="142"/>
    </row>
    <row r="57" spans="2:35" x14ac:dyDescent="0.25">
      <c r="AG57" s="142"/>
    </row>
    <row r="58" spans="2:35" x14ac:dyDescent="0.25">
      <c r="C58" s="2" t="s">
        <v>28</v>
      </c>
      <c r="AG58" s="142"/>
    </row>
    <row r="59" spans="2:35" x14ac:dyDescent="0.25">
      <c r="D59" s="3" t="s">
        <v>29</v>
      </c>
      <c r="F59" s="4">
        <f>345378+8389.35+16561.45+2153.3</f>
        <v>372482.1</v>
      </c>
      <c r="G59" s="4">
        <f>345378+8389.35+16561.45+2153.3</f>
        <v>372482.1</v>
      </c>
      <c r="I59" s="19">
        <v>320000</v>
      </c>
      <c r="J59" s="4">
        <f>285985.15+13460.1+2360.4+3816.7+15050</f>
        <v>320672.35000000003</v>
      </c>
      <c r="L59" s="19">
        <v>400000</v>
      </c>
      <c r="M59" s="19">
        <f>231702.55+3137.85+18359.85</f>
        <v>253200.25</v>
      </c>
      <c r="N59" s="4">
        <f>325262.55+24695.75+1450+4000.25</f>
        <v>355408.55</v>
      </c>
      <c r="P59" s="4" t="e">
        <f>#REF!*1.4</f>
        <v>#REF!</v>
      </c>
      <c r="Q59" s="19">
        <f>307178.6+25379.95+4689.9</f>
        <v>337248.45</v>
      </c>
      <c r="R59" s="4">
        <f>403544.15+6253.2+33330.7</f>
        <v>443128.05000000005</v>
      </c>
      <c r="T59" s="4">
        <v>455000</v>
      </c>
      <c r="U59" s="4">
        <f>299928.3+5276.25+24830.95</f>
        <v>330035.5</v>
      </c>
      <c r="V59" s="4">
        <f>402168.3+33347.65+7035</f>
        <v>442550.95</v>
      </c>
      <c r="X59" s="4">
        <v>460000</v>
      </c>
      <c r="Y59" s="92">
        <f t="shared" ref="Y59:Y67" si="22">X59/2</f>
        <v>230000</v>
      </c>
      <c r="Z59" s="116">
        <f>313634.7+5276.25+26126.1</f>
        <v>345037.05</v>
      </c>
      <c r="AB59" s="116">
        <f>414665.85+7035+34442.55</f>
        <v>456143.39999999997</v>
      </c>
      <c r="AE59" s="116">
        <v>283040</v>
      </c>
      <c r="AG59" s="142"/>
      <c r="AH59" s="151" t="s">
        <v>223</v>
      </c>
    </row>
    <row r="60" spans="2:35" x14ac:dyDescent="0.25">
      <c r="D60" s="3" t="s">
        <v>98</v>
      </c>
      <c r="R60" s="4">
        <v>29890</v>
      </c>
      <c r="T60" s="4">
        <v>20000</v>
      </c>
      <c r="U60" s="4">
        <v>0</v>
      </c>
      <c r="V60" s="4">
        <v>27400</v>
      </c>
      <c r="Y60" s="92">
        <f t="shared" si="22"/>
        <v>0</v>
      </c>
      <c r="Z60" s="116">
        <v>0</v>
      </c>
      <c r="AB60" s="116"/>
      <c r="AE60" s="116"/>
      <c r="AG60" s="142"/>
    </row>
    <row r="61" spans="2:35" x14ac:dyDescent="0.25">
      <c r="D61" s="3" t="s">
        <v>204</v>
      </c>
      <c r="F61" s="116">
        <v>2673.55</v>
      </c>
      <c r="G61" s="4">
        <v>2673.55</v>
      </c>
      <c r="I61" s="19">
        <v>2855.95</v>
      </c>
      <c r="J61" s="4">
        <v>2750.8</v>
      </c>
      <c r="L61" s="19">
        <v>3400</v>
      </c>
      <c r="M61" s="19">
        <v>2279.6999999999998</v>
      </c>
      <c r="N61" s="4">
        <v>3462.95</v>
      </c>
      <c r="P61" s="4" t="e">
        <f>#REF!*1.4</f>
        <v>#REF!</v>
      </c>
      <c r="Q61" s="19">
        <v>2679.55</v>
      </c>
      <c r="R61" s="4">
        <v>4042.45</v>
      </c>
      <c r="T61" s="4">
        <f>4042.45*1.07</f>
        <v>4325.4215000000004</v>
      </c>
      <c r="U61" s="4">
        <v>2582</v>
      </c>
      <c r="V61" s="4">
        <v>3630.05</v>
      </c>
      <c r="X61" s="4">
        <v>3700</v>
      </c>
      <c r="Y61" s="92">
        <f t="shared" si="22"/>
        <v>1850</v>
      </c>
      <c r="Z61" s="116">
        <v>2945.7</v>
      </c>
      <c r="AB61" s="116">
        <v>3413.2</v>
      </c>
      <c r="AE61" s="116">
        <v>2120</v>
      </c>
      <c r="AG61" s="142"/>
      <c r="AH61" s="152"/>
    </row>
    <row r="62" spans="2:35" x14ac:dyDescent="0.25">
      <c r="D62" s="3" t="s">
        <v>205</v>
      </c>
      <c r="F62" s="116">
        <v>0.05</v>
      </c>
      <c r="G62" s="4">
        <v>0.05</v>
      </c>
      <c r="I62" s="19">
        <v>1376</v>
      </c>
      <c r="J62" s="4">
        <v>1325.85</v>
      </c>
      <c r="L62" s="19">
        <v>1700</v>
      </c>
      <c r="M62" s="19">
        <v>1087.75</v>
      </c>
      <c r="N62" s="4">
        <v>1606.9</v>
      </c>
      <c r="P62" s="4" t="e">
        <f>#REF!*1.4</f>
        <v>#REF!</v>
      </c>
      <c r="Q62" s="19">
        <v>1546.8</v>
      </c>
      <c r="R62" s="4">
        <v>1798.35</v>
      </c>
      <c r="T62" s="4">
        <f>1798.35*1.07</f>
        <v>1924.2345</v>
      </c>
      <c r="U62" s="4">
        <v>2275.35</v>
      </c>
      <c r="V62" s="4">
        <v>3095.2</v>
      </c>
      <c r="X62" s="4">
        <v>3100</v>
      </c>
      <c r="Y62" s="92">
        <f t="shared" si="22"/>
        <v>1550</v>
      </c>
      <c r="Z62" s="116">
        <v>2275.3000000000002</v>
      </c>
      <c r="AB62" s="116">
        <v>2910.2</v>
      </c>
      <c r="AE62" s="116">
        <v>1740</v>
      </c>
      <c r="AG62" s="142"/>
      <c r="AH62" s="152"/>
    </row>
    <row r="63" spans="2:35" x14ac:dyDescent="0.25">
      <c r="D63" s="3" t="s">
        <v>206</v>
      </c>
      <c r="F63" s="116">
        <v>11079.95</v>
      </c>
      <c r="G63" s="4">
        <v>11079.95</v>
      </c>
      <c r="I63" s="19">
        <v>12000</v>
      </c>
      <c r="J63" s="4">
        <v>11313.15</v>
      </c>
      <c r="L63" s="19">
        <v>14000</v>
      </c>
      <c r="M63" s="19">
        <v>16665.400000000001</v>
      </c>
      <c r="N63" s="4">
        <v>17825.55</v>
      </c>
      <c r="P63" s="4">
        <v>25000</v>
      </c>
      <c r="Q63" s="19">
        <v>15440.65</v>
      </c>
      <c r="R63" s="4">
        <v>19158.55</v>
      </c>
      <c r="T63" s="4">
        <f>19158.55*1.07</f>
        <v>20499.648499999999</v>
      </c>
      <c r="U63" s="4">
        <v>14790.3</v>
      </c>
      <c r="V63" s="4">
        <v>20072</v>
      </c>
      <c r="X63" s="4">
        <v>20000</v>
      </c>
      <c r="Y63" s="92">
        <f t="shared" si="22"/>
        <v>10000</v>
      </c>
      <c r="Z63" s="116">
        <v>17020.05</v>
      </c>
      <c r="AB63" s="116">
        <v>20317.349999999999</v>
      </c>
      <c r="AE63" s="116">
        <v>14600</v>
      </c>
      <c r="AG63" s="142"/>
      <c r="AH63" s="152"/>
    </row>
    <row r="64" spans="2:35" x14ac:dyDescent="0.25">
      <c r="D64" s="3" t="s">
        <v>207</v>
      </c>
      <c r="F64" s="116">
        <v>32005.75</v>
      </c>
      <c r="G64" s="4">
        <v>32005.75</v>
      </c>
      <c r="I64" s="19">
        <v>28057.599999999999</v>
      </c>
      <c r="J64" s="4">
        <v>27914.45</v>
      </c>
      <c r="L64" s="19">
        <v>35000</v>
      </c>
      <c r="M64" s="19">
        <v>24467.8</v>
      </c>
      <c r="N64" s="4">
        <v>34228.35</v>
      </c>
      <c r="P64" s="4">
        <v>45000</v>
      </c>
      <c r="Q64" s="19">
        <v>33582.050000000003</v>
      </c>
      <c r="R64" s="4">
        <v>45887.35</v>
      </c>
      <c r="T64" s="4">
        <f>45887.35*1.07</f>
        <v>49099.464500000002</v>
      </c>
      <c r="U64" s="4">
        <v>32138.15</v>
      </c>
      <c r="V64" s="4">
        <v>44864.75</v>
      </c>
      <c r="X64" s="4">
        <v>42700</v>
      </c>
      <c r="Y64" s="92">
        <f t="shared" si="22"/>
        <v>21350</v>
      </c>
      <c r="Z64" s="116">
        <v>32443.1</v>
      </c>
      <c r="AB64" s="116">
        <v>42156.2</v>
      </c>
      <c r="AE64" s="116">
        <v>26425</v>
      </c>
      <c r="AG64" s="142"/>
      <c r="AH64" s="152"/>
    </row>
    <row r="65" spans="3:38" x14ac:dyDescent="0.25">
      <c r="D65" s="3" t="s">
        <v>119</v>
      </c>
      <c r="F65" s="116">
        <f>1572.2</f>
        <v>1572.2</v>
      </c>
      <c r="G65" s="4">
        <f>1572.2</f>
        <v>1572.2</v>
      </c>
      <c r="I65" s="19">
        <v>936</v>
      </c>
      <c r="J65" s="4">
        <v>2380.8000000000002</v>
      </c>
      <c r="L65" s="19">
        <v>3000</v>
      </c>
      <c r="M65" s="19">
        <v>371</v>
      </c>
      <c r="N65" s="4">
        <f>771.2+200</f>
        <v>971.2</v>
      </c>
      <c r="P65" s="4">
        <v>800</v>
      </c>
      <c r="Q65" s="19">
        <f>566.4</f>
        <v>566.4</v>
      </c>
      <c r="R65" s="4">
        <v>798.2</v>
      </c>
      <c r="T65" s="4">
        <f>798.2*1.07</f>
        <v>854.07400000000007</v>
      </c>
      <c r="U65" s="4">
        <v>619.75</v>
      </c>
      <c r="V65" s="4">
        <v>736.75</v>
      </c>
      <c r="X65" s="4">
        <v>800</v>
      </c>
      <c r="Y65" s="92">
        <f t="shared" si="22"/>
        <v>400</v>
      </c>
      <c r="Z65" s="116">
        <f>351+323.9</f>
        <v>674.9</v>
      </c>
      <c r="AB65" s="116">
        <f>468+582.8</f>
        <v>1050.8</v>
      </c>
      <c r="AE65" s="116">
        <f>468</f>
        <v>468</v>
      </c>
      <c r="AG65" s="142"/>
      <c r="AH65" s="153" t="s">
        <v>222</v>
      </c>
    </row>
    <row r="66" spans="3:38" x14ac:dyDescent="0.25">
      <c r="D66" s="3" t="s">
        <v>104</v>
      </c>
      <c r="F66" s="116"/>
      <c r="U66" s="4">
        <v>533</v>
      </c>
      <c r="V66" s="4">
        <v>533</v>
      </c>
      <c r="Y66" s="92">
        <f t="shared" si="22"/>
        <v>0</v>
      </c>
      <c r="Z66" s="116">
        <v>0</v>
      </c>
      <c r="AB66" s="116"/>
      <c r="AG66" s="142"/>
      <c r="AH66" s="153"/>
    </row>
    <row r="67" spans="3:38" x14ac:dyDescent="0.25">
      <c r="D67" s="3" t="s">
        <v>30</v>
      </c>
      <c r="F67" s="116">
        <v>1466.75</v>
      </c>
      <c r="G67" s="4">
        <v>1466.75</v>
      </c>
      <c r="I67" s="19">
        <v>30000</v>
      </c>
      <c r="J67" s="4">
        <v>31237.9</v>
      </c>
      <c r="L67" s="19">
        <v>35000</v>
      </c>
      <c r="M67" s="19">
        <v>32996.050000000003</v>
      </c>
      <c r="N67" s="4">
        <v>69026.600000000006</v>
      </c>
      <c r="P67" s="4">
        <v>90000</v>
      </c>
      <c r="Q67" s="19">
        <v>60367.8</v>
      </c>
      <c r="R67" s="4">
        <v>71240.600000000006</v>
      </c>
      <c r="T67" s="4">
        <v>70000</v>
      </c>
      <c r="U67" s="4">
        <v>51993.78</v>
      </c>
      <c r="V67" s="4">
        <v>58253.88</v>
      </c>
      <c r="X67" s="4">
        <v>70000</v>
      </c>
      <c r="Y67" s="92">
        <f t="shared" si="22"/>
        <v>35000</v>
      </c>
      <c r="Z67" s="116">
        <v>12106.95</v>
      </c>
      <c r="AB67" s="116">
        <v>19059.8</v>
      </c>
      <c r="AE67" s="116">
        <v>44384.6</v>
      </c>
      <c r="AG67" s="142"/>
      <c r="AH67" s="152"/>
    </row>
    <row r="68" spans="3:38" x14ac:dyDescent="0.25">
      <c r="D68" s="3" t="s">
        <v>194</v>
      </c>
      <c r="F68" s="116"/>
      <c r="G68" s="116"/>
      <c r="J68" s="116"/>
      <c r="N68" s="116"/>
      <c r="P68" s="116"/>
      <c r="R68" s="116"/>
      <c r="T68" s="116"/>
      <c r="U68" s="116"/>
      <c r="V68" s="116"/>
      <c r="X68" s="116"/>
      <c r="Y68" s="124"/>
      <c r="Z68" s="116">
        <v>2626.41</v>
      </c>
      <c r="AB68" s="116">
        <v>17548.61</v>
      </c>
      <c r="AE68" s="116">
        <v>19445.599999999999</v>
      </c>
      <c r="AG68" s="142"/>
      <c r="AH68" s="152"/>
      <c r="AL68" s="115"/>
    </row>
    <row r="69" spans="3:38" x14ac:dyDescent="0.25">
      <c r="D69" s="3" t="s">
        <v>203</v>
      </c>
      <c r="F69" s="116"/>
      <c r="G69" s="116"/>
      <c r="J69" s="116"/>
      <c r="N69" s="116"/>
      <c r="P69" s="116"/>
      <c r="R69" s="116"/>
      <c r="T69" s="116"/>
      <c r="U69" s="116"/>
      <c r="V69" s="116"/>
      <c r="X69" s="116"/>
      <c r="Y69" s="124"/>
      <c r="Z69" s="116"/>
      <c r="AB69" s="116"/>
      <c r="AE69" s="113">
        <v>36556</v>
      </c>
      <c r="AG69" s="142"/>
      <c r="AH69" s="152"/>
      <c r="AL69" s="115"/>
    </row>
    <row r="70" spans="3:38" x14ac:dyDescent="0.25">
      <c r="D70" s="3" t="s">
        <v>83</v>
      </c>
      <c r="F70" s="4">
        <v>-46679.25</v>
      </c>
      <c r="G70" s="4">
        <v>-46679.25</v>
      </c>
      <c r="I70" s="19">
        <v>-20000</v>
      </c>
      <c r="J70" s="4">
        <v>-20648.95</v>
      </c>
      <c r="M70" s="19">
        <v>-1512.95</v>
      </c>
      <c r="N70" s="4">
        <v>-1512.95</v>
      </c>
      <c r="P70" s="4">
        <v>0</v>
      </c>
      <c r="Q70" s="19">
        <v>0</v>
      </c>
      <c r="V70" s="100"/>
      <c r="AG70" s="142"/>
      <c r="AH70" s="152"/>
    </row>
    <row r="71" spans="3:38" hidden="1" x14ac:dyDescent="0.25">
      <c r="D71" s="3" t="s">
        <v>31</v>
      </c>
      <c r="F71" s="4">
        <v>-485.4</v>
      </c>
      <c r="G71" s="4">
        <v>-485.4</v>
      </c>
      <c r="I71" s="19">
        <v>-400</v>
      </c>
      <c r="J71" s="4">
        <v>-504.45</v>
      </c>
      <c r="L71" s="19">
        <v>-500</v>
      </c>
      <c r="M71" s="19">
        <v>-367.05</v>
      </c>
      <c r="N71" s="4">
        <v>-549.35</v>
      </c>
      <c r="P71" s="4" t="e">
        <f>#REF!*1.5</f>
        <v>#REF!</v>
      </c>
      <c r="Q71" s="19">
        <v>-374.9</v>
      </c>
      <c r="R71" s="4">
        <v>-400.8</v>
      </c>
      <c r="T71" s="4"/>
      <c r="U71" s="4">
        <v>32.1</v>
      </c>
      <c r="V71" s="4">
        <v>32.1</v>
      </c>
      <c r="X71" s="4">
        <v>0</v>
      </c>
      <c r="Z71" s="116">
        <v>0</v>
      </c>
      <c r="AB71" s="116"/>
      <c r="AE71" s="116"/>
      <c r="AG71" s="142"/>
      <c r="AH71" s="152"/>
    </row>
    <row r="72" spans="3:38" x14ac:dyDescent="0.25">
      <c r="F72" s="8">
        <f t="shared" ref="F72:Q72" si="23">SUM(F59:F71)</f>
        <v>374115.69999999995</v>
      </c>
      <c r="G72" s="8">
        <f>SUM(G59:G71)</f>
        <v>374115.69999999995</v>
      </c>
      <c r="H72" s="126">
        <f>100/G$9*G72</f>
        <v>21.476263593729264</v>
      </c>
      <c r="I72" s="21">
        <f t="shared" si="23"/>
        <v>374825.55</v>
      </c>
      <c r="J72" s="8">
        <f>SUM(J59:J71)</f>
        <v>376441.9</v>
      </c>
      <c r="K72" s="126">
        <f>100/J$9*J72</f>
        <v>20.038118116785604</v>
      </c>
      <c r="L72" s="21">
        <f t="shared" si="23"/>
        <v>491600</v>
      </c>
      <c r="M72" s="8">
        <f>SUM(M59:M71)</f>
        <v>329187.95</v>
      </c>
      <c r="N72" s="8">
        <f>SUM(N59:N71)</f>
        <v>480467.8</v>
      </c>
      <c r="O72" s="126">
        <f>100/N$9*N72</f>
        <v>22.355443331101846</v>
      </c>
      <c r="P72" s="8" t="e">
        <f t="shared" si="23"/>
        <v>#REF!</v>
      </c>
      <c r="Q72" s="8">
        <f t="shared" si="23"/>
        <v>451056.8</v>
      </c>
      <c r="R72" s="8">
        <f>SUM(R59:R71)</f>
        <v>615542.74999999988</v>
      </c>
      <c r="S72" s="126">
        <f>100/R$9*R72</f>
        <v>25.601908988660565</v>
      </c>
      <c r="T72" s="8">
        <f>SUM(T59:T71)</f>
        <v>621702.84300000011</v>
      </c>
      <c r="U72" s="8">
        <f>SUM(U59:U71)</f>
        <v>434999.92999999993</v>
      </c>
      <c r="V72" s="8">
        <f>SUM(V59:V71)</f>
        <v>601168.67999999993</v>
      </c>
      <c r="W72" s="126">
        <f>100/$V$9*V72</f>
        <v>19.622907325130498</v>
      </c>
      <c r="X72" s="8">
        <f>SUM(X59:X71)</f>
        <v>600300</v>
      </c>
      <c r="Y72" s="95">
        <f>SUM(Y59:Y71)</f>
        <v>300150</v>
      </c>
      <c r="Z72" s="118">
        <f>SUM(Z59:Z71)</f>
        <v>415129.45999999996</v>
      </c>
      <c r="AA72" s="125">
        <f>100/Z$9*Z72</f>
        <v>28.870903420168517</v>
      </c>
      <c r="AB72" s="118">
        <f>SUM(AB59:AB71)</f>
        <v>562599.56000000006</v>
      </c>
      <c r="AC72" s="126">
        <f>100/AB$9*AB72</f>
        <v>31.289843205505349</v>
      </c>
      <c r="AE72" s="118">
        <f>SUM(AE59:AE71)</f>
        <v>428779.19999999995</v>
      </c>
      <c r="AF72" s="126">
        <f>100/AE$9*AE72</f>
        <v>19.489963636363633</v>
      </c>
      <c r="AG72" s="142"/>
    </row>
    <row r="73" spans="3:38" x14ac:dyDescent="0.25">
      <c r="C73" s="2" t="s">
        <v>32</v>
      </c>
      <c r="AG73" s="142"/>
    </row>
    <row r="74" spans="3:38" x14ac:dyDescent="0.25">
      <c r="D74" s="3" t="s">
        <v>32</v>
      </c>
      <c r="F74" s="4">
        <v>100759</v>
      </c>
      <c r="G74" s="4">
        <v>100759</v>
      </c>
      <c r="I74" s="19">
        <f>G74/12*5+(4505+(1162+350)+4300)*7+4505/2</f>
        <v>116454.41666666667</v>
      </c>
      <c r="J74" s="4">
        <v>128617.5</v>
      </c>
      <c r="L74" s="19">
        <v>130000</v>
      </c>
      <c r="M74" s="4">
        <v>98505.45</v>
      </c>
      <c r="N74" s="4">
        <v>133472.95000000001</v>
      </c>
      <c r="P74" s="4">
        <v>190000</v>
      </c>
      <c r="Q74" s="4">
        <v>135315.15</v>
      </c>
      <c r="R74" s="4">
        <v>186405.15</v>
      </c>
      <c r="T74" s="4">
        <v>204360</v>
      </c>
      <c r="U74" s="4">
        <v>153270</v>
      </c>
      <c r="V74" s="4">
        <v>204360</v>
      </c>
      <c r="X74" s="4">
        <v>204000</v>
      </c>
      <c r="Y74" s="92">
        <f>X74/2</f>
        <v>102000</v>
      </c>
      <c r="Z74" s="116">
        <v>152551</v>
      </c>
      <c r="AB74" s="116">
        <v>220099</v>
      </c>
      <c r="AE74" s="116">
        <f>3*11516+9*11531+12*3438+(12*5000)</f>
        <v>239583</v>
      </c>
      <c r="AG74" s="142"/>
    </row>
    <row r="75" spans="3:38" x14ac:dyDescent="0.25">
      <c r="F75" s="8">
        <f t="shared" ref="F75:M75" si="24">SUM(F74)</f>
        <v>100759</v>
      </c>
      <c r="G75" s="8">
        <f>SUM(G74)</f>
        <v>100759</v>
      </c>
      <c r="H75" s="126">
        <f>100/G$9*G75</f>
        <v>5.7841112881404531</v>
      </c>
      <c r="I75" s="21">
        <f t="shared" si="24"/>
        <v>116454.41666666667</v>
      </c>
      <c r="J75" s="8">
        <f>SUM(J74)</f>
        <v>128617.5</v>
      </c>
      <c r="K75" s="126">
        <f>100/J$9*J75</f>
        <v>6.846349083047536</v>
      </c>
      <c r="L75" s="21">
        <f t="shared" si="24"/>
        <v>130000</v>
      </c>
      <c r="M75" s="8">
        <f t="shared" si="24"/>
        <v>98505.45</v>
      </c>
      <c r="N75" s="8">
        <f>SUM(N74)</f>
        <v>133472.95000000001</v>
      </c>
      <c r="O75" s="126">
        <f>100/N$9*N75</f>
        <v>6.2102954036878026</v>
      </c>
      <c r="P75" s="8">
        <f t="shared" ref="P75" si="25">SUM(P74)</f>
        <v>190000</v>
      </c>
      <c r="Q75" s="8">
        <f>SUM(Q74)</f>
        <v>135315.15</v>
      </c>
      <c r="R75" s="8">
        <f>SUM(R74)</f>
        <v>186405.15</v>
      </c>
      <c r="S75" s="126">
        <f>100/R$9*R75</f>
        <v>7.7530401995923457</v>
      </c>
      <c r="T75" s="8">
        <f>SUM(T74)</f>
        <v>204360</v>
      </c>
      <c r="U75" s="8">
        <f>SUM(U74)</f>
        <v>153270</v>
      </c>
      <c r="V75" s="8">
        <f>SUM(V74)</f>
        <v>204360</v>
      </c>
      <c r="W75" s="126">
        <f>100/$V$9*V75</f>
        <v>6.6705693000567976</v>
      </c>
      <c r="X75" s="8">
        <f>SUM(X74)</f>
        <v>204000</v>
      </c>
      <c r="Y75" s="95">
        <f>SUM(Y74)</f>
        <v>102000</v>
      </c>
      <c r="Z75" s="118">
        <f>SUM(Z74)</f>
        <v>152551</v>
      </c>
      <c r="AA75" s="125">
        <f>100/Z$9*Z75</f>
        <v>10.609425762387781</v>
      </c>
      <c r="AB75" s="118">
        <f>SUM(AB74)</f>
        <v>220099</v>
      </c>
      <c r="AC75" s="126">
        <f>100/AB$9*AB75</f>
        <v>12.241145726613297</v>
      </c>
      <c r="AE75" s="118">
        <f>SUM(AE74)</f>
        <v>239583</v>
      </c>
      <c r="AF75" s="126">
        <f>100/AE$9*AE75</f>
        <v>10.890136363636364</v>
      </c>
      <c r="AG75" s="142"/>
    </row>
    <row r="76" spans="3:38" x14ac:dyDescent="0.25">
      <c r="C76" s="2" t="s">
        <v>33</v>
      </c>
      <c r="AG76" s="142"/>
    </row>
    <row r="77" spans="3:38" x14ac:dyDescent="0.25">
      <c r="D77" s="3" t="s">
        <v>34</v>
      </c>
      <c r="F77" s="4">
        <v>47760</v>
      </c>
      <c r="G77" s="4">
        <v>47760</v>
      </c>
      <c r="I77" s="19">
        <v>47760</v>
      </c>
      <c r="J77" s="4">
        <v>47760</v>
      </c>
      <c r="L77" s="19">
        <v>47760</v>
      </c>
      <c r="M77" s="4">
        <v>35820.449999999997</v>
      </c>
      <c r="N77" s="4">
        <v>47760.6</v>
      </c>
      <c r="P77" s="4">
        <v>10000</v>
      </c>
      <c r="Q77" s="4">
        <v>11940.15</v>
      </c>
      <c r="R77" s="4">
        <v>11940.15</v>
      </c>
      <c r="T77" s="16">
        <v>0</v>
      </c>
      <c r="U77" s="4">
        <v>0</v>
      </c>
      <c r="V77" s="4">
        <v>0</v>
      </c>
      <c r="X77" s="4">
        <v>0</v>
      </c>
      <c r="Y77" s="92">
        <v>0</v>
      </c>
      <c r="Z77" s="116">
        <v>0</v>
      </c>
      <c r="AB77" s="116">
        <v>0</v>
      </c>
      <c r="AE77" s="116">
        <v>0</v>
      </c>
      <c r="AG77" s="142"/>
    </row>
    <row r="78" spans="3:38" x14ac:dyDescent="0.25">
      <c r="D78" s="3" t="s">
        <v>35</v>
      </c>
      <c r="F78" s="4">
        <v>91</v>
      </c>
      <c r="G78" s="4">
        <v>91</v>
      </c>
      <c r="I78" s="19">
        <v>375</v>
      </c>
      <c r="J78" s="4">
        <v>1004.05</v>
      </c>
      <c r="L78" s="19">
        <v>500</v>
      </c>
      <c r="M78" s="19">
        <v>27.1</v>
      </c>
      <c r="N78" s="4">
        <v>27.1</v>
      </c>
      <c r="P78" s="4">
        <v>36.133333333333333</v>
      </c>
      <c r="Q78" s="19">
        <v>0</v>
      </c>
      <c r="R78" s="4">
        <v>0</v>
      </c>
      <c r="U78" s="4">
        <v>835.5</v>
      </c>
      <c r="V78" s="4">
        <v>835.5</v>
      </c>
      <c r="X78" s="4">
        <v>1000</v>
      </c>
      <c r="Y78" s="92">
        <f>X78/2</f>
        <v>500</v>
      </c>
      <c r="Z78" s="116">
        <v>0</v>
      </c>
      <c r="AB78" s="116">
        <v>0</v>
      </c>
      <c r="AE78" s="116">
        <v>0</v>
      </c>
      <c r="AG78" s="142"/>
    </row>
    <row r="79" spans="3:38" x14ac:dyDescent="0.25">
      <c r="D79" s="3" t="s">
        <v>36</v>
      </c>
      <c r="F79" s="4">
        <v>945.25</v>
      </c>
      <c r="G79" s="4">
        <v>945.25</v>
      </c>
      <c r="I79" s="19">
        <v>1000</v>
      </c>
      <c r="J79" s="4">
        <v>480</v>
      </c>
      <c r="L79" s="19">
        <v>1000</v>
      </c>
      <c r="M79" s="19">
        <v>891.4</v>
      </c>
      <c r="N79" s="4">
        <v>1159.0999999999999</v>
      </c>
      <c r="P79" s="4">
        <v>1188.5333333333333</v>
      </c>
      <c r="Q79" s="19">
        <v>1540</v>
      </c>
      <c r="R79" s="4">
        <v>2300</v>
      </c>
      <c r="T79" s="4">
        <v>2300</v>
      </c>
      <c r="U79" s="4">
        <v>1788.5</v>
      </c>
      <c r="V79" s="4">
        <v>2358.5</v>
      </c>
      <c r="X79" s="4">
        <v>2300</v>
      </c>
      <c r="Y79" s="92">
        <f>X79/2</f>
        <v>1150</v>
      </c>
      <c r="Z79" s="116">
        <v>1235</v>
      </c>
      <c r="AB79" s="116">
        <v>2245</v>
      </c>
      <c r="AE79" s="116">
        <v>2300</v>
      </c>
      <c r="AG79" s="142"/>
    </row>
    <row r="80" spans="3:38" x14ac:dyDescent="0.25">
      <c r="F80" s="8">
        <f t="shared" ref="F80:L80" si="26">SUM(F77:F79)</f>
        <v>48796.25</v>
      </c>
      <c r="G80" s="8">
        <f>SUM(G77:G79)</f>
        <v>48796.25</v>
      </c>
      <c r="H80" s="126">
        <f>100/G$9*G80</f>
        <v>2.8011685352566378</v>
      </c>
      <c r="I80" s="21">
        <f t="shared" si="26"/>
        <v>49135</v>
      </c>
      <c r="J80" s="8">
        <f>SUM(J77:J79)</f>
        <v>49244.05</v>
      </c>
      <c r="K80" s="126">
        <f>100/J$9*J80</f>
        <v>2.6212759271720181</v>
      </c>
      <c r="L80" s="21">
        <f t="shared" si="26"/>
        <v>49260</v>
      </c>
      <c r="M80" s="8">
        <f>SUM(M77:M79)</f>
        <v>36738.949999999997</v>
      </c>
      <c r="N80" s="8">
        <f>SUM(N77:N79)</f>
        <v>48946.799999999996</v>
      </c>
      <c r="O80" s="126">
        <f>100/N$9*N80</f>
        <v>2.2774209086202566</v>
      </c>
      <c r="P80" s="8">
        <f t="shared" ref="P80" si="27">SUM(P77:P79)</f>
        <v>11224.666666666666</v>
      </c>
      <c r="Q80" s="8">
        <f>SUM(Q77:Q79)</f>
        <v>13480.15</v>
      </c>
      <c r="R80" s="8">
        <f>SUM(R77:R79)</f>
        <v>14240.15</v>
      </c>
      <c r="S80" s="126">
        <f>100/R$9*R80</f>
        <v>0.59228221644211521</v>
      </c>
      <c r="T80" s="8">
        <f>SUM(T77:T79)</f>
        <v>2300</v>
      </c>
      <c r="U80" s="8">
        <f>SUM(U77:U79)</f>
        <v>2624</v>
      </c>
      <c r="V80" s="8">
        <f>SUM(V77:V79)</f>
        <v>3194</v>
      </c>
      <c r="W80" s="126">
        <f>100/$V$9*V80</f>
        <v>0.10425620642190944</v>
      </c>
      <c r="X80" s="8">
        <f>SUM(X77:X79)</f>
        <v>3300</v>
      </c>
      <c r="Y80" s="95">
        <f>SUM(Y77:Y79)</f>
        <v>1650</v>
      </c>
      <c r="Z80" s="118">
        <f>SUM(Z77:Z79)</f>
        <v>1235</v>
      </c>
      <c r="AA80" s="125">
        <f>100/Z$9*Z80</f>
        <v>8.5890232227575761E-2</v>
      </c>
      <c r="AB80" s="118">
        <f>SUM(AB77:AB79)</f>
        <v>2245</v>
      </c>
      <c r="AC80" s="126">
        <f>100/AB$9*AB80</f>
        <v>0.12485914136932404</v>
      </c>
      <c r="AE80" s="118">
        <f>SUM(AE77:AE79)</f>
        <v>2300</v>
      </c>
      <c r="AF80" s="126">
        <f>100/AE$9*AE80</f>
        <v>0.10454545454545454</v>
      </c>
      <c r="AG80" s="142"/>
    </row>
    <row r="81" spans="2:34" x14ac:dyDescent="0.25">
      <c r="C81" s="2" t="s">
        <v>37</v>
      </c>
      <c r="I81" s="22"/>
      <c r="J81" s="12"/>
      <c r="L81" s="22"/>
      <c r="M81" s="22"/>
      <c r="N81" s="12"/>
      <c r="P81" s="12"/>
      <c r="Q81" s="22"/>
      <c r="R81" s="24"/>
      <c r="T81" s="24"/>
      <c r="U81" s="24"/>
      <c r="V81" s="24"/>
      <c r="X81" s="12"/>
      <c r="Y81" s="96"/>
      <c r="Z81" s="120"/>
      <c r="AB81" s="120"/>
      <c r="AE81" s="120"/>
      <c r="AG81" s="142"/>
    </row>
    <row r="82" spans="2:34" x14ac:dyDescent="0.25">
      <c r="D82" s="3" t="s">
        <v>38</v>
      </c>
      <c r="F82" s="4">
        <v>41232.959999999999</v>
      </c>
      <c r="G82" s="4">
        <v>41232.959999999999</v>
      </c>
      <c r="I82" s="19">
        <v>13720</v>
      </c>
      <c r="J82" s="4">
        <v>12380.1</v>
      </c>
      <c r="L82" s="19">
        <v>13000</v>
      </c>
      <c r="M82" s="4">
        <v>6263.55</v>
      </c>
      <c r="N82" s="4">
        <v>12775.2</v>
      </c>
      <c r="P82" s="4">
        <v>34000</v>
      </c>
      <c r="Q82" s="4">
        <v>15274.35</v>
      </c>
      <c r="R82" s="4">
        <v>20365.8</v>
      </c>
      <c r="T82" s="16">
        <f>20365.8+12*1000</f>
        <v>32365.8</v>
      </c>
      <c r="U82" s="4">
        <v>28093.15</v>
      </c>
      <c r="V82" s="4">
        <v>37412.800000000003</v>
      </c>
      <c r="X82" s="4">
        <v>37000</v>
      </c>
      <c r="Y82" s="92">
        <f t="shared" ref="Y82:Y87" si="28">X82/2</f>
        <v>18500</v>
      </c>
      <c r="Z82" s="116">
        <v>27958.95</v>
      </c>
      <c r="AB82" s="116">
        <v>37278.6</v>
      </c>
      <c r="AE82" s="116">
        <f>1409.38*12</f>
        <v>16912.560000000001</v>
      </c>
      <c r="AG82" s="142"/>
    </row>
    <row r="83" spans="2:34" x14ac:dyDescent="0.25">
      <c r="D83" s="3" t="s">
        <v>195</v>
      </c>
      <c r="F83" s="116">
        <v>10072</v>
      </c>
      <c r="G83" s="4">
        <v>10072</v>
      </c>
      <c r="I83" s="19">
        <f>8643.3-1818.6</f>
        <v>6824.6999999999989</v>
      </c>
      <c r="J83" s="113">
        <v>8643.2999999999993</v>
      </c>
      <c r="L83" s="19">
        <v>8000</v>
      </c>
      <c r="M83" s="19">
        <v>5213.8999999999996</v>
      </c>
      <c r="N83" s="4">
        <v>7343.5</v>
      </c>
      <c r="P83" s="4">
        <v>11000</v>
      </c>
      <c r="Q83" s="19">
        <v>3175.8</v>
      </c>
      <c r="R83" s="4">
        <v>3611.2</v>
      </c>
      <c r="T83" s="16">
        <f>3611.2+1500</f>
        <v>5111.2</v>
      </c>
      <c r="U83" s="4">
        <v>3965.7</v>
      </c>
      <c r="V83" s="4">
        <v>6171.1</v>
      </c>
      <c r="X83" s="4">
        <v>6200</v>
      </c>
      <c r="Y83" s="92">
        <f t="shared" si="28"/>
        <v>3100</v>
      </c>
      <c r="Z83" s="116">
        <v>5985.4</v>
      </c>
      <c r="AB83" s="116">
        <v>7690.8</v>
      </c>
      <c r="AE83" s="116">
        <f>3171.7+2132.3+347.1+2385.4</f>
        <v>8036.5</v>
      </c>
      <c r="AG83" s="142"/>
      <c r="AH83" s="151">
        <v>4520</v>
      </c>
    </row>
    <row r="84" spans="2:34" x14ac:dyDescent="0.25">
      <c r="D84" s="3" t="s">
        <v>37</v>
      </c>
      <c r="F84" s="4">
        <v>13132.7</v>
      </c>
      <c r="G84" s="4">
        <v>13132.7</v>
      </c>
      <c r="I84" s="19">
        <v>14000</v>
      </c>
      <c r="J84" s="4">
        <v>7322.85</v>
      </c>
      <c r="L84" s="19">
        <v>8000</v>
      </c>
      <c r="M84" s="19">
        <v>8525.58</v>
      </c>
      <c r="N84" s="4">
        <f>18483.79-2693.15</f>
        <v>15790.640000000001</v>
      </c>
      <c r="P84" s="4">
        <v>11367.44</v>
      </c>
      <c r="Q84" s="19">
        <v>11224.17</v>
      </c>
      <c r="R84" s="4">
        <f>12752.4</f>
        <v>12752.4</v>
      </c>
      <c r="T84" s="4">
        <f>12752.4</f>
        <v>12752.4</v>
      </c>
      <c r="U84" s="4">
        <v>16237.51</v>
      </c>
      <c r="V84" s="4">
        <v>19862.71</v>
      </c>
      <c r="X84" s="4">
        <v>15000</v>
      </c>
      <c r="Y84" s="92">
        <f t="shared" si="28"/>
        <v>7500</v>
      </c>
      <c r="Z84" s="116">
        <v>10059.799999999999</v>
      </c>
      <c r="AB84" s="116">
        <v>10311.049999999999</v>
      </c>
      <c r="AE84" s="116">
        <v>10000</v>
      </c>
      <c r="AG84" s="142"/>
      <c r="AH84" s="151">
        <v>4320</v>
      </c>
    </row>
    <row r="85" spans="2:34" x14ac:dyDescent="0.25">
      <c r="D85" s="3" t="s">
        <v>100</v>
      </c>
      <c r="R85" s="4">
        <v>-6253.2</v>
      </c>
      <c r="T85" s="4">
        <v>-6253.2</v>
      </c>
      <c r="U85" s="16">
        <v>0</v>
      </c>
      <c r="V85" s="4">
        <v>-6532.05</v>
      </c>
      <c r="X85" s="4">
        <v>-6500</v>
      </c>
      <c r="Y85" s="92">
        <f t="shared" si="28"/>
        <v>-3250</v>
      </c>
      <c r="Z85" s="119">
        <v>0</v>
      </c>
      <c r="AB85" s="116">
        <v>-6532.05</v>
      </c>
      <c r="AE85" s="116">
        <v>0</v>
      </c>
      <c r="AG85" s="142"/>
    </row>
    <row r="86" spans="2:34" x14ac:dyDescent="0.25">
      <c r="D86" s="3" t="s">
        <v>91</v>
      </c>
      <c r="N86" s="4">
        <v>4507.16</v>
      </c>
      <c r="P86" s="4">
        <v>2000</v>
      </c>
      <c r="Q86" s="19">
        <v>1094.77</v>
      </c>
      <c r="R86" s="4">
        <v>1094.77</v>
      </c>
      <c r="T86" s="4">
        <v>1094.77</v>
      </c>
      <c r="U86" s="4">
        <v>1614.65</v>
      </c>
      <c r="V86" s="4">
        <v>1614.65</v>
      </c>
      <c r="X86" s="4">
        <v>0</v>
      </c>
      <c r="Y86" s="92">
        <f t="shared" si="28"/>
        <v>0</v>
      </c>
      <c r="Z86" s="116">
        <v>0</v>
      </c>
      <c r="AB86" s="116">
        <v>0</v>
      </c>
      <c r="AE86" s="116"/>
      <c r="AG86" s="142"/>
    </row>
    <row r="87" spans="2:34" x14ac:dyDescent="0.25">
      <c r="D87" s="3" t="s">
        <v>39</v>
      </c>
      <c r="F87" s="4">
        <v>20634.79</v>
      </c>
      <c r="G87" s="4">
        <v>20634.79</v>
      </c>
      <c r="I87" s="19">
        <v>22000</v>
      </c>
      <c r="J87" s="4">
        <v>12729.1</v>
      </c>
      <c r="L87" s="19">
        <v>13000</v>
      </c>
      <c r="M87" s="19">
        <v>6000.21</v>
      </c>
      <c r="N87" s="4">
        <v>8729.83</v>
      </c>
      <c r="P87" s="4">
        <v>10000</v>
      </c>
      <c r="Q87" s="19">
        <v>9380.6200000000008</v>
      </c>
      <c r="R87" s="4">
        <v>12707.3</v>
      </c>
      <c r="T87" s="16">
        <v>25000</v>
      </c>
      <c r="U87" s="4">
        <v>13209.5</v>
      </c>
      <c r="V87" s="4">
        <v>17311.55</v>
      </c>
      <c r="X87" s="4">
        <v>18000</v>
      </c>
      <c r="Y87" s="92">
        <f t="shared" si="28"/>
        <v>9000</v>
      </c>
      <c r="Z87" s="116">
        <v>11000.45</v>
      </c>
      <c r="AB87" s="116">
        <v>14869.3</v>
      </c>
      <c r="AE87" s="116">
        <v>10000</v>
      </c>
      <c r="AG87" s="142"/>
    </row>
    <row r="88" spans="2:34" x14ac:dyDescent="0.25">
      <c r="F88" s="8">
        <f t="shared" ref="F88:P88" si="29">SUM(F82:F87)</f>
        <v>85072.450000000012</v>
      </c>
      <c r="G88" s="8">
        <f>SUM(G82:G87)</f>
        <v>85072.450000000012</v>
      </c>
      <c r="H88" s="126">
        <f>100/G$9*G88</f>
        <v>4.8836185189885208</v>
      </c>
      <c r="I88" s="21">
        <f t="shared" si="29"/>
        <v>56544.7</v>
      </c>
      <c r="J88" s="8">
        <f>SUM(J82:J87)</f>
        <v>41075.35</v>
      </c>
      <c r="K88" s="126">
        <f>100/J$9*J88</f>
        <v>2.186453513778114</v>
      </c>
      <c r="L88" s="21">
        <f t="shared" si="29"/>
        <v>42000</v>
      </c>
      <c r="M88" s="8">
        <f>SUM(M82:M87)</f>
        <v>26003.239999999998</v>
      </c>
      <c r="N88" s="8">
        <f>SUM(N82:N87)</f>
        <v>49146.33</v>
      </c>
      <c r="O88" s="126">
        <f>100/N$9*N88</f>
        <v>2.2867047391034956</v>
      </c>
      <c r="P88" s="8">
        <f t="shared" si="29"/>
        <v>68367.44</v>
      </c>
      <c r="Q88" s="8">
        <f>SUM(Q82:Q87)</f>
        <v>40149.71</v>
      </c>
      <c r="R88" s="8">
        <f>SUM(R82:R87)</f>
        <v>44278.270000000004</v>
      </c>
      <c r="S88" s="126">
        <f>100/R$9*R88</f>
        <v>1.8416401439466872</v>
      </c>
      <c r="T88" s="8">
        <f>SUM(T82:T87)</f>
        <v>70070.97</v>
      </c>
      <c r="U88" s="8">
        <f>SUM(U82:U87)</f>
        <v>63120.51</v>
      </c>
      <c r="V88" s="8">
        <f>SUM(V82:V87)</f>
        <v>75840.759999999995</v>
      </c>
      <c r="W88" s="126">
        <f>100/$V$9*V88</f>
        <v>2.4755384877127402</v>
      </c>
      <c r="X88" s="8">
        <f>SUM(X82:X87)</f>
        <v>69700</v>
      </c>
      <c r="Y88" s="95">
        <f>SUM(Y82:Y87)</f>
        <v>34850</v>
      </c>
      <c r="Z88" s="118">
        <f>SUM(Z82:Z87)</f>
        <v>55004.599999999991</v>
      </c>
      <c r="AA88" s="125">
        <f>100/Z$9*Z88</f>
        <v>3.8253909858987147</v>
      </c>
      <c r="AB88" s="118">
        <f>SUM(AB82:AB87)</f>
        <v>63617.7</v>
      </c>
      <c r="AC88" s="126">
        <f>100/AB$9*AB88</f>
        <v>3.5381966137600203</v>
      </c>
      <c r="AE88" s="118">
        <f>SUM(AE82:AE87)</f>
        <v>44949.06</v>
      </c>
      <c r="AF88" s="126">
        <f>100/AE$9*AE88</f>
        <v>2.0431390909090905</v>
      </c>
      <c r="AG88" s="142"/>
    </row>
    <row r="89" spans="2:34" x14ac:dyDescent="0.25">
      <c r="C89" s="2" t="s">
        <v>40</v>
      </c>
      <c r="AG89" s="142"/>
    </row>
    <row r="90" spans="2:34" hidden="1" x14ac:dyDescent="0.25">
      <c r="D90" s="3" t="s">
        <v>41</v>
      </c>
      <c r="F90" s="4">
        <f>1701.7</f>
        <v>1701.7</v>
      </c>
      <c r="I90" s="19">
        <v>1600</v>
      </c>
      <c r="J90" s="113"/>
      <c r="L90" s="19">
        <v>1700</v>
      </c>
      <c r="R90" s="4"/>
      <c r="T90" s="4"/>
      <c r="U90" s="4"/>
      <c r="V90" s="4"/>
      <c r="X90" s="4">
        <v>0</v>
      </c>
      <c r="Z90" s="116">
        <v>0</v>
      </c>
      <c r="AB90" s="116"/>
      <c r="AE90" s="116"/>
      <c r="AG90" s="142"/>
    </row>
    <row r="91" spans="2:34" x14ac:dyDescent="0.25">
      <c r="D91" s="3" t="s">
        <v>84</v>
      </c>
      <c r="F91" s="116">
        <f ca="1">SUM(F90:F95)</f>
        <v>2555.3000000000002</v>
      </c>
      <c r="G91" s="4">
        <f>1701.7</f>
        <v>1701.7</v>
      </c>
      <c r="I91" s="19">
        <v>2906</v>
      </c>
      <c r="J91" s="113">
        <f>3173.65-745.9</f>
        <v>2427.75</v>
      </c>
      <c r="L91" s="19">
        <v>3176</v>
      </c>
      <c r="M91" s="19">
        <v>1786.65</v>
      </c>
      <c r="N91" s="4">
        <v>3324.65</v>
      </c>
      <c r="P91" s="4">
        <v>3500</v>
      </c>
      <c r="Q91" s="19">
        <v>2349.6</v>
      </c>
      <c r="R91" s="4">
        <v>3254.6</v>
      </c>
      <c r="T91" s="4">
        <v>3254.6</v>
      </c>
      <c r="U91" s="4">
        <v>3086.25</v>
      </c>
      <c r="V91" s="4">
        <v>3896.25</v>
      </c>
      <c r="X91" s="4">
        <v>3900</v>
      </c>
      <c r="Y91" s="92">
        <f t="shared" ref="Y91:Y95" si="30">X91/2</f>
        <v>1950</v>
      </c>
      <c r="Z91" s="116">
        <v>3106.95</v>
      </c>
      <c r="AB91" s="116">
        <v>4246.95</v>
      </c>
      <c r="AE91" s="116">
        <f>2608+502+165+853</f>
        <v>4128</v>
      </c>
      <c r="AG91" s="142"/>
    </row>
    <row r="92" spans="2:34" x14ac:dyDescent="0.25">
      <c r="D92" s="3" t="s">
        <v>42</v>
      </c>
      <c r="F92" s="116">
        <f>310.8-183.2</f>
        <v>127.60000000000002</v>
      </c>
      <c r="G92" s="4">
        <f>310.8-183.2</f>
        <v>127.60000000000002</v>
      </c>
      <c r="I92" s="19">
        <v>580</v>
      </c>
      <c r="J92" s="113">
        <v>745.9</v>
      </c>
      <c r="L92" s="19">
        <v>750</v>
      </c>
      <c r="P92" s="4">
        <v>800</v>
      </c>
      <c r="Q92" s="19">
        <v>823.2</v>
      </c>
      <c r="R92" s="4">
        <v>1263.2</v>
      </c>
      <c r="T92" s="4">
        <v>1263.2</v>
      </c>
      <c r="U92" s="4">
        <v>585</v>
      </c>
      <c r="V92" s="4">
        <v>1370.1</v>
      </c>
      <c r="X92" s="4">
        <v>1300</v>
      </c>
      <c r="Y92" s="92">
        <f t="shared" si="30"/>
        <v>650</v>
      </c>
      <c r="Z92" s="116">
        <v>589.20000000000005</v>
      </c>
      <c r="AB92" s="116">
        <v>1052.9000000000001</v>
      </c>
      <c r="AE92" s="116">
        <v>785.2</v>
      </c>
      <c r="AG92" s="142"/>
    </row>
    <row r="93" spans="2:34" x14ac:dyDescent="0.25">
      <c r="D93" s="3" t="s">
        <v>85</v>
      </c>
      <c r="F93" s="116"/>
      <c r="M93" s="19">
        <f>928+54</f>
        <v>982</v>
      </c>
      <c r="N93" s="4">
        <v>982</v>
      </c>
      <c r="P93" s="4">
        <v>1000</v>
      </c>
      <c r="Q93" s="19">
        <v>460</v>
      </c>
      <c r="R93" s="4">
        <v>460</v>
      </c>
      <c r="T93" s="4">
        <v>460</v>
      </c>
      <c r="U93" s="4">
        <v>345</v>
      </c>
      <c r="V93" s="4">
        <v>460</v>
      </c>
      <c r="X93" s="4">
        <v>460</v>
      </c>
      <c r="Y93" s="92">
        <f t="shared" si="30"/>
        <v>230</v>
      </c>
      <c r="Z93" s="116">
        <v>484</v>
      </c>
      <c r="AB93" s="116">
        <f>645+18</f>
        <v>663</v>
      </c>
      <c r="AE93" s="116">
        <v>645</v>
      </c>
      <c r="AG93" s="142"/>
    </row>
    <row r="94" spans="2:34" x14ac:dyDescent="0.25">
      <c r="D94" s="3" t="s">
        <v>186</v>
      </c>
      <c r="F94" s="116"/>
      <c r="R94" s="4"/>
      <c r="T94" s="4"/>
      <c r="U94" s="4"/>
      <c r="V94" s="4">
        <v>18</v>
      </c>
      <c r="X94" s="4">
        <v>0</v>
      </c>
      <c r="Y94" s="92">
        <f t="shared" si="30"/>
        <v>0</v>
      </c>
      <c r="Z94" s="116">
        <v>0</v>
      </c>
      <c r="AB94" s="116">
        <v>0</v>
      </c>
      <c r="AG94" s="142"/>
    </row>
    <row r="95" spans="2:34" x14ac:dyDescent="0.25">
      <c r="D95" s="3" t="s">
        <v>43</v>
      </c>
      <c r="F95" s="116">
        <v>726</v>
      </c>
      <c r="G95" s="4">
        <f>726+819</f>
        <v>1545</v>
      </c>
      <c r="I95" s="19">
        <v>726</v>
      </c>
      <c r="J95" s="4">
        <v>714</v>
      </c>
      <c r="L95" s="19">
        <v>726</v>
      </c>
      <c r="N95" s="4">
        <v>714</v>
      </c>
      <c r="P95" s="4">
        <v>726</v>
      </c>
      <c r="Q95" s="19">
        <v>714</v>
      </c>
      <c r="R95" s="4">
        <v>714</v>
      </c>
      <c r="T95" s="4">
        <v>714</v>
      </c>
      <c r="U95" s="4">
        <v>714</v>
      </c>
      <c r="V95" s="4">
        <f>714+167</f>
        <v>881</v>
      </c>
      <c r="X95" s="4">
        <f>714+731+753</f>
        <v>2198</v>
      </c>
      <c r="Y95" s="92">
        <f t="shared" si="30"/>
        <v>1099</v>
      </c>
      <c r="Z95" s="139">
        <f>536+1483.95</f>
        <v>2019.95</v>
      </c>
      <c r="AB95" s="116">
        <v>2197.9499999999998</v>
      </c>
      <c r="AE95" s="116">
        <v>2197.9499999999998</v>
      </c>
      <c r="AG95" s="142"/>
    </row>
    <row r="96" spans="2:34" s="14" customFormat="1" ht="12.75" hidden="1" x14ac:dyDescent="0.2">
      <c r="B96" s="1"/>
      <c r="C96" s="2"/>
      <c r="D96" s="3" t="s">
        <v>65</v>
      </c>
      <c r="F96" s="116">
        <v>819</v>
      </c>
      <c r="G96" s="116"/>
      <c r="H96" s="126"/>
      <c r="I96" s="116">
        <v>714</v>
      </c>
      <c r="J96" s="116"/>
      <c r="K96" s="126"/>
      <c r="L96" s="116">
        <v>714</v>
      </c>
      <c r="M96" s="116">
        <v>714</v>
      </c>
      <c r="N96" s="116"/>
      <c r="O96" s="126"/>
      <c r="P96" s="116">
        <v>952</v>
      </c>
      <c r="Q96" s="116">
        <v>0</v>
      </c>
      <c r="R96" s="116"/>
      <c r="S96" s="126"/>
      <c r="T96" s="116">
        <v>0</v>
      </c>
      <c r="U96" s="116">
        <v>0</v>
      </c>
      <c r="V96" s="116"/>
      <c r="W96" s="126"/>
      <c r="X96" s="116">
        <v>0</v>
      </c>
      <c r="Y96" s="116">
        <v>0</v>
      </c>
      <c r="Z96" s="139">
        <v>0</v>
      </c>
      <c r="AA96" s="125"/>
      <c r="AB96" s="116"/>
      <c r="AC96" s="126"/>
      <c r="AD96" s="126"/>
      <c r="AE96" s="116"/>
      <c r="AF96" s="126"/>
      <c r="AG96" s="142"/>
      <c r="AH96" s="151"/>
    </row>
    <row r="97" spans="2:34" hidden="1" x14ac:dyDescent="0.25">
      <c r="R97" s="4"/>
      <c r="T97" s="4"/>
      <c r="U97" s="4"/>
      <c r="V97" s="4"/>
      <c r="Z97" s="116"/>
      <c r="AG97" s="142"/>
    </row>
    <row r="98" spans="2:34" x14ac:dyDescent="0.25">
      <c r="F98" s="8">
        <f ca="1">SUM(F90:F96)</f>
        <v>0</v>
      </c>
      <c r="G98" s="8">
        <f>SUM(G91:G96)</f>
        <v>3374.3</v>
      </c>
      <c r="H98" s="126">
        <f>100/G$9*G98</f>
        <v>0.19370306096301404</v>
      </c>
      <c r="I98" s="8">
        <f>SUM(I90:I96)</f>
        <v>6526</v>
      </c>
      <c r="J98" s="118">
        <f>SUM(J90:J97)</f>
        <v>3887.65</v>
      </c>
      <c r="K98" s="126">
        <f>100/J$9*J98</f>
        <v>0.20694080519921282</v>
      </c>
      <c r="L98" s="8">
        <f>SUM(L90:L96)</f>
        <v>7066</v>
      </c>
      <c r="M98" s="8">
        <f>SUM(M90:M96)</f>
        <v>3482.65</v>
      </c>
      <c r="N98" s="8">
        <f>SUM(N90:N96)</f>
        <v>5020.6499999999996</v>
      </c>
      <c r="O98" s="126">
        <f>100/N$9*N98</f>
        <v>0.23360328529882016</v>
      </c>
      <c r="P98" s="8">
        <f>SUM(P90:P96)</f>
        <v>6978</v>
      </c>
      <c r="Q98" s="8">
        <f>SUM(Q90:Q96)</f>
        <v>4346.8</v>
      </c>
      <c r="R98" s="8">
        <f>SUM(R90:R96)</f>
        <v>5691.8</v>
      </c>
      <c r="S98" s="126">
        <f>100/R$9*R98</f>
        <v>0.23673570289254195</v>
      </c>
      <c r="T98" s="8">
        <f>SUM(T90:T96)</f>
        <v>5691.8</v>
      </c>
      <c r="U98" s="8">
        <f>SUM(U90:U96)</f>
        <v>4730.25</v>
      </c>
      <c r="V98" s="8">
        <f>SUM(V90:V96)</f>
        <v>6625.35</v>
      </c>
      <c r="W98" s="126">
        <f>100/$V$9*V98</f>
        <v>0.21625981753832113</v>
      </c>
      <c r="X98" s="8">
        <f>SUM(X90:X96)</f>
        <v>7858</v>
      </c>
      <c r="Y98" s="95">
        <f>SUM(Y90:Y96)</f>
        <v>3929</v>
      </c>
      <c r="Z98" s="118">
        <f>SUM(Z90:Z96)</f>
        <v>6200.0999999999995</v>
      </c>
      <c r="AA98" s="125">
        <f>100/Z$9*Z98</f>
        <v>0.43119678448112747</v>
      </c>
      <c r="AB98" s="118">
        <f>SUM(AB90:AB95)</f>
        <v>8160.8</v>
      </c>
      <c r="AC98" s="126">
        <f>100/AB$9*AB99</f>
        <v>0</v>
      </c>
      <c r="AE98" s="118">
        <f>SUM(AE90:AE95)</f>
        <v>7756.15</v>
      </c>
      <c r="AF98" s="126">
        <f>100/AE$9*AE99</f>
        <v>0</v>
      </c>
      <c r="AG98" s="142"/>
    </row>
    <row r="99" spans="2:34" x14ac:dyDescent="0.25">
      <c r="C99" s="2" t="s">
        <v>44</v>
      </c>
      <c r="AG99" s="142"/>
    </row>
    <row r="100" spans="2:34" x14ac:dyDescent="0.25">
      <c r="D100" s="3" t="s">
        <v>45</v>
      </c>
      <c r="F100" s="4">
        <v>581.04999999999995</v>
      </c>
      <c r="G100" s="4">
        <v>581.04999999999995</v>
      </c>
      <c r="I100" s="19">
        <v>1000</v>
      </c>
      <c r="J100" s="4">
        <v>531.6</v>
      </c>
      <c r="L100" s="19">
        <v>600</v>
      </c>
      <c r="M100" s="19">
        <v>559.95000000000005</v>
      </c>
      <c r="N100" s="4">
        <v>909.95</v>
      </c>
      <c r="P100" s="4">
        <v>746.6</v>
      </c>
      <c r="Q100" s="19">
        <v>499.5</v>
      </c>
      <c r="R100" s="4">
        <v>989.5</v>
      </c>
      <c r="T100" s="4">
        <v>989.5</v>
      </c>
      <c r="U100" s="4">
        <v>807.55</v>
      </c>
      <c r="V100" s="4">
        <v>881.2</v>
      </c>
      <c r="X100" s="4">
        <v>1500</v>
      </c>
      <c r="Y100" s="92">
        <f>X100/2</f>
        <v>750</v>
      </c>
      <c r="Z100" s="116">
        <v>921.5</v>
      </c>
      <c r="AB100" s="116">
        <v>2374.3000000000002</v>
      </c>
      <c r="AE100" s="116">
        <v>3000</v>
      </c>
      <c r="AG100" s="142"/>
    </row>
    <row r="101" spans="2:34" x14ac:dyDescent="0.25">
      <c r="F101" s="8">
        <f t="shared" ref="F101:R101" si="31">F100</f>
        <v>581.04999999999995</v>
      </c>
      <c r="G101" s="8">
        <f t="shared" si="31"/>
        <v>581.04999999999995</v>
      </c>
      <c r="H101" s="126">
        <f>100/G$9*G101</f>
        <v>3.3355411069720918E-2</v>
      </c>
      <c r="I101" s="21">
        <f t="shared" si="31"/>
        <v>1000</v>
      </c>
      <c r="J101" s="17">
        <f>J100</f>
        <v>531.6</v>
      </c>
      <c r="K101" s="126">
        <f>100/J$9*J101</f>
        <v>2.8297231500752775E-2</v>
      </c>
      <c r="L101" s="21">
        <f t="shared" si="31"/>
        <v>600</v>
      </c>
      <c r="M101" s="17">
        <f t="shared" si="31"/>
        <v>559.95000000000005</v>
      </c>
      <c r="N101" s="17">
        <f t="shared" si="31"/>
        <v>909.95</v>
      </c>
      <c r="O101" s="126">
        <f>100/N$9*N101</f>
        <v>4.2338603459245602E-2</v>
      </c>
      <c r="P101" s="8">
        <f t="shared" si="31"/>
        <v>746.6</v>
      </c>
      <c r="Q101" s="17">
        <f t="shared" si="31"/>
        <v>499.5</v>
      </c>
      <c r="R101" s="8">
        <f t="shared" si="31"/>
        <v>989.5</v>
      </c>
      <c r="S101" s="126">
        <f>100/R$9*R101</f>
        <v>4.1155693807261369E-2</v>
      </c>
      <c r="T101" s="8">
        <f t="shared" ref="T101:V101" si="32">T100</f>
        <v>989.5</v>
      </c>
      <c r="U101" s="8">
        <f t="shared" si="32"/>
        <v>807.55</v>
      </c>
      <c r="V101" s="8">
        <f t="shared" si="32"/>
        <v>881.2</v>
      </c>
      <c r="W101" s="126">
        <f>100/$V$9*V101</f>
        <v>2.876348437663951E-2</v>
      </c>
      <c r="X101" s="8">
        <f t="shared" ref="X101" si="33">X100</f>
        <v>1500</v>
      </c>
      <c r="Y101" s="95">
        <f t="shared" ref="Y101:Z101" si="34">Y100</f>
        <v>750</v>
      </c>
      <c r="Z101" s="118">
        <f t="shared" si="34"/>
        <v>921.5</v>
      </c>
      <c r="AA101" s="125">
        <f>100/Z$9*Z101</f>
        <v>6.4087327123652685E-2</v>
      </c>
      <c r="AB101" s="118">
        <f t="shared" ref="AB101" si="35">AB100</f>
        <v>2374.3000000000002</v>
      </c>
      <c r="AC101" s="126">
        <f>100/AB$9*AB102</f>
        <v>0</v>
      </c>
      <c r="AE101" s="118">
        <f t="shared" ref="AE101" si="36">AE100</f>
        <v>3000</v>
      </c>
      <c r="AF101" s="126">
        <f>100/AE$9*AE102</f>
        <v>0</v>
      </c>
      <c r="AG101" s="142"/>
    </row>
    <row r="102" spans="2:34" x14ac:dyDescent="0.25">
      <c r="C102" s="2" t="s">
        <v>46</v>
      </c>
      <c r="R102" s="4"/>
      <c r="T102" s="4"/>
      <c r="U102" s="4"/>
      <c r="V102" s="4"/>
      <c r="Z102" s="116"/>
      <c r="AG102" s="142"/>
    </row>
    <row r="103" spans="2:34" x14ac:dyDescent="0.25">
      <c r="D103" s="3" t="s">
        <v>47</v>
      </c>
      <c r="F103" s="4">
        <v>3597.36</v>
      </c>
      <c r="G103" s="4">
        <v>3597.36</v>
      </c>
      <c r="I103" s="19">
        <v>3000</v>
      </c>
      <c r="J103" s="4">
        <v>3336.63</v>
      </c>
      <c r="L103" s="19">
        <v>3500</v>
      </c>
      <c r="M103" s="19">
        <v>2530.6999999999998</v>
      </c>
      <c r="N103" s="4">
        <v>3638.86</v>
      </c>
      <c r="P103" s="4">
        <v>3500</v>
      </c>
      <c r="Q103" s="19">
        <v>2874.55</v>
      </c>
      <c r="R103" s="4">
        <v>3734.45</v>
      </c>
      <c r="T103" s="4">
        <v>3734.45</v>
      </c>
      <c r="U103" s="4">
        <v>2485.11</v>
      </c>
      <c r="V103" s="4">
        <v>3406.36</v>
      </c>
      <c r="X103" s="4">
        <v>3500</v>
      </c>
      <c r="Y103" s="92">
        <f t="shared" ref="Y103:Y116" si="37">X103/2</f>
        <v>1750</v>
      </c>
      <c r="Z103" s="116">
        <v>1480.62</v>
      </c>
      <c r="AB103" s="116">
        <v>2042.65</v>
      </c>
      <c r="AE103" s="116">
        <v>2500</v>
      </c>
      <c r="AG103" s="142"/>
    </row>
    <row r="104" spans="2:34" ht="13.5" customHeight="1" x14ac:dyDescent="0.25">
      <c r="D104" s="3" t="s">
        <v>48</v>
      </c>
      <c r="F104" s="4">
        <v>1670.3</v>
      </c>
      <c r="G104" s="4">
        <v>1670.3</v>
      </c>
      <c r="I104" s="19">
        <v>1700</v>
      </c>
      <c r="J104" s="4">
        <v>1243.5999999999999</v>
      </c>
      <c r="L104" s="19">
        <v>1300</v>
      </c>
      <c r="M104" s="19">
        <v>773.05</v>
      </c>
      <c r="N104" s="116">
        <v>1078.3</v>
      </c>
      <c r="P104" s="116">
        <v>1100</v>
      </c>
      <c r="Q104" s="116">
        <v>755.85</v>
      </c>
      <c r="R104" s="116">
        <v>988.35</v>
      </c>
      <c r="T104" s="116">
        <v>988.35</v>
      </c>
      <c r="U104" s="116">
        <v>509.85</v>
      </c>
      <c r="V104" s="116">
        <v>690.15</v>
      </c>
      <c r="X104" s="4">
        <v>700</v>
      </c>
      <c r="Y104" s="92">
        <f t="shared" si="37"/>
        <v>350</v>
      </c>
      <c r="Z104" s="116">
        <v>485.8</v>
      </c>
      <c r="AB104" s="116">
        <v>651.25</v>
      </c>
      <c r="AE104" s="116">
        <v>700</v>
      </c>
      <c r="AG104" s="142"/>
    </row>
    <row r="105" spans="2:34" s="14" customFormat="1" ht="13.5" customHeight="1" x14ac:dyDescent="0.2">
      <c r="B105" s="1"/>
      <c r="C105" s="2"/>
      <c r="D105" s="3" t="s">
        <v>92</v>
      </c>
      <c r="F105" s="16"/>
      <c r="G105" s="16"/>
      <c r="H105" s="126"/>
      <c r="I105" s="16"/>
      <c r="J105" s="16"/>
      <c r="K105" s="126"/>
      <c r="L105" s="16"/>
      <c r="M105" s="16"/>
      <c r="N105" s="116">
        <v>124.9</v>
      </c>
      <c r="O105" s="126"/>
      <c r="P105" s="116"/>
      <c r="Q105" s="116"/>
      <c r="R105" s="116"/>
      <c r="S105" s="126"/>
      <c r="T105" s="116"/>
      <c r="U105" s="116"/>
      <c r="V105" s="116"/>
      <c r="W105" s="126"/>
      <c r="X105" s="4"/>
      <c r="Y105" s="92">
        <f t="shared" si="37"/>
        <v>0</v>
      </c>
      <c r="Z105" s="116"/>
      <c r="AA105" s="125"/>
      <c r="AC105" s="126"/>
      <c r="AD105" s="126"/>
      <c r="AF105" s="126"/>
      <c r="AG105" s="142"/>
      <c r="AH105" s="151"/>
    </row>
    <row r="106" spans="2:34" x14ac:dyDescent="0.25">
      <c r="D106" s="3" t="s">
        <v>49</v>
      </c>
      <c r="F106" s="4">
        <v>4284.87</v>
      </c>
      <c r="G106" s="4">
        <v>4284.87</v>
      </c>
      <c r="I106" s="19">
        <v>3500</v>
      </c>
      <c r="J106" s="4">
        <v>4308.1000000000004</v>
      </c>
      <c r="L106" s="19">
        <v>4500</v>
      </c>
      <c r="M106" s="19">
        <v>3398.65</v>
      </c>
      <c r="N106" s="116">
        <v>4288.8999999999996</v>
      </c>
      <c r="P106" s="116">
        <v>4531.5333333333338</v>
      </c>
      <c r="Q106" s="116">
        <v>3292.7</v>
      </c>
      <c r="R106" s="116">
        <v>4222.3500000000004</v>
      </c>
      <c r="T106" s="116">
        <v>4222.3500000000004</v>
      </c>
      <c r="U106" s="116">
        <v>3739.8</v>
      </c>
      <c r="V106" s="116">
        <v>4961.3999999999996</v>
      </c>
      <c r="X106" s="4">
        <v>4500</v>
      </c>
      <c r="Y106" s="92">
        <f t="shared" si="37"/>
        <v>2250</v>
      </c>
      <c r="Z106" s="116">
        <v>2468.1</v>
      </c>
      <c r="AB106" s="116">
        <v>3219</v>
      </c>
      <c r="AE106" s="116">
        <v>3000</v>
      </c>
      <c r="AG106" s="142"/>
    </row>
    <row r="107" spans="2:34" x14ac:dyDescent="0.25">
      <c r="D107" s="3" t="s">
        <v>50</v>
      </c>
      <c r="F107" s="4">
        <v>9253.61</v>
      </c>
      <c r="G107" s="4">
        <v>9253.61</v>
      </c>
      <c r="I107" s="19">
        <v>10000</v>
      </c>
      <c r="J107" s="4">
        <v>8292.34</v>
      </c>
      <c r="L107" s="19">
        <v>60000</v>
      </c>
      <c r="M107" s="19">
        <v>9509.1200000000008</v>
      </c>
      <c r="N107" s="116">
        <v>12655.77</v>
      </c>
      <c r="P107" s="116">
        <v>13000</v>
      </c>
      <c r="Q107" s="116">
        <v>8292.85</v>
      </c>
      <c r="R107" s="116">
        <v>10167.34</v>
      </c>
      <c r="T107" s="116">
        <v>10167.34</v>
      </c>
      <c r="U107" s="116">
        <v>8817.25</v>
      </c>
      <c r="V107" s="116">
        <v>9782.9699999999993</v>
      </c>
      <c r="X107" s="4">
        <f>10000+4000</f>
        <v>14000</v>
      </c>
      <c r="Y107" s="92">
        <f t="shared" si="37"/>
        <v>7000</v>
      </c>
      <c r="Z107" s="116">
        <v>12865.63</v>
      </c>
      <c r="AB107" s="116">
        <v>16209.17</v>
      </c>
      <c r="AE107" s="116">
        <v>10000</v>
      </c>
      <c r="AG107" s="142"/>
    </row>
    <row r="108" spans="2:34" s="14" customFormat="1" ht="12.75" x14ac:dyDescent="0.2">
      <c r="B108" s="1"/>
      <c r="C108" s="2"/>
      <c r="D108" s="3" t="s">
        <v>88</v>
      </c>
      <c r="F108" s="16"/>
      <c r="G108" s="16"/>
      <c r="H108" s="126"/>
      <c r="I108" s="16"/>
      <c r="J108" s="16"/>
      <c r="K108" s="126"/>
      <c r="L108" s="16"/>
      <c r="M108" s="16"/>
      <c r="N108" s="116"/>
      <c r="O108" s="126"/>
      <c r="P108" s="116">
        <v>20000</v>
      </c>
      <c r="Q108" s="116">
        <v>4486.75</v>
      </c>
      <c r="R108" s="116">
        <v>4486.75</v>
      </c>
      <c r="S108" s="126"/>
      <c r="T108" s="116"/>
      <c r="U108" s="116"/>
      <c r="V108" s="116"/>
      <c r="W108" s="126"/>
      <c r="X108" s="4">
        <v>5000</v>
      </c>
      <c r="Y108" s="92">
        <f t="shared" si="37"/>
        <v>2500</v>
      </c>
      <c r="Z108" s="116"/>
      <c r="AA108" s="125"/>
      <c r="AB108" s="119"/>
      <c r="AC108" s="126"/>
      <c r="AD108" s="126"/>
      <c r="AE108" s="116"/>
      <c r="AF108" s="126"/>
      <c r="AG108" s="142"/>
      <c r="AH108" s="151"/>
    </row>
    <row r="109" spans="2:34" s="14" customFormat="1" ht="12.75" x14ac:dyDescent="0.2">
      <c r="B109" s="1"/>
      <c r="C109" s="2"/>
      <c r="D109" s="3" t="s">
        <v>86</v>
      </c>
      <c r="F109" s="16"/>
      <c r="G109" s="16"/>
      <c r="H109" s="126"/>
      <c r="I109" s="16"/>
      <c r="J109" s="16"/>
      <c r="K109" s="126"/>
      <c r="L109" s="16"/>
      <c r="M109" s="16">
        <v>10080.02</v>
      </c>
      <c r="N109" s="116">
        <v>10080.02</v>
      </c>
      <c r="O109" s="126"/>
      <c r="P109" s="116"/>
      <c r="Q109" s="116">
        <v>0</v>
      </c>
      <c r="R109" s="116"/>
      <c r="S109" s="126"/>
      <c r="T109" s="116"/>
      <c r="U109" s="116"/>
      <c r="V109" s="116"/>
      <c r="W109" s="126"/>
      <c r="X109" s="4"/>
      <c r="Y109" s="92">
        <f t="shared" si="37"/>
        <v>0</v>
      </c>
      <c r="Z109" s="116"/>
      <c r="AA109" s="125"/>
      <c r="AB109" s="119"/>
      <c r="AC109" s="126"/>
      <c r="AD109" s="126"/>
      <c r="AE109" s="119"/>
      <c r="AF109" s="126"/>
      <c r="AG109" s="142"/>
      <c r="AH109" s="151"/>
    </row>
    <row r="110" spans="2:34" x14ac:dyDescent="0.25">
      <c r="D110" s="3" t="s">
        <v>51</v>
      </c>
      <c r="F110" s="4">
        <v>10900.76</v>
      </c>
      <c r="G110" s="4">
        <v>8900.76</v>
      </c>
      <c r="I110" s="19">
        <v>10000</v>
      </c>
      <c r="J110" s="4">
        <v>19291.509999999998</v>
      </c>
      <c r="L110" s="4">
        <v>12000</v>
      </c>
      <c r="M110" s="4">
        <v>5917.8</v>
      </c>
      <c r="N110" s="116">
        <v>7515.8</v>
      </c>
      <c r="P110" s="116">
        <v>9000</v>
      </c>
      <c r="Q110" s="116">
        <v>8149.75</v>
      </c>
      <c r="R110" s="116">
        <v>11929.75</v>
      </c>
      <c r="T110" s="116">
        <v>9429.75</v>
      </c>
      <c r="U110" s="116">
        <v>9056.9</v>
      </c>
      <c r="V110" s="116">
        <v>11336.9</v>
      </c>
      <c r="X110" s="4">
        <v>12000</v>
      </c>
      <c r="Y110" s="92">
        <f t="shared" si="37"/>
        <v>6000</v>
      </c>
      <c r="Z110" s="116">
        <v>7713</v>
      </c>
      <c r="AB110" s="116">
        <v>9158</v>
      </c>
      <c r="AE110" s="116">
        <v>12000</v>
      </c>
      <c r="AG110" s="142"/>
    </row>
    <row r="111" spans="2:34" x14ac:dyDescent="0.25">
      <c r="L111" s="4"/>
      <c r="M111" s="4"/>
      <c r="N111" s="116"/>
      <c r="P111" s="116"/>
      <c r="Q111" s="116"/>
      <c r="R111" s="116"/>
      <c r="T111" s="116"/>
      <c r="U111" s="116"/>
      <c r="V111" s="116"/>
      <c r="Y111" s="92">
        <f t="shared" si="37"/>
        <v>0</v>
      </c>
      <c r="Z111" s="116"/>
      <c r="AB111" s="116"/>
      <c r="AE111" s="116"/>
      <c r="AG111" s="142"/>
    </row>
    <row r="112" spans="2:34" x14ac:dyDescent="0.25">
      <c r="D112" s="3" t="s">
        <v>80</v>
      </c>
      <c r="G112" s="116">
        <v>0</v>
      </c>
      <c r="J112" s="4">
        <v>350</v>
      </c>
      <c r="L112" s="4"/>
      <c r="M112" s="4">
        <v>0</v>
      </c>
      <c r="N112" s="4">
        <v>0</v>
      </c>
      <c r="P112" s="4">
        <v>0</v>
      </c>
      <c r="Q112" s="4">
        <v>0</v>
      </c>
      <c r="R112" s="4">
        <v>0</v>
      </c>
      <c r="T112" s="4">
        <v>0</v>
      </c>
      <c r="U112" s="4">
        <v>0</v>
      </c>
      <c r="V112" s="4">
        <v>0</v>
      </c>
      <c r="X112" s="4">
        <v>0</v>
      </c>
      <c r="Y112" s="92">
        <f t="shared" si="37"/>
        <v>0</v>
      </c>
      <c r="Z112" s="116">
        <v>0</v>
      </c>
      <c r="AB112" s="116">
        <v>0</v>
      </c>
      <c r="AE112" s="116">
        <v>0</v>
      </c>
      <c r="AG112" s="142"/>
    </row>
    <row r="113" spans="2:38" x14ac:dyDescent="0.25">
      <c r="D113" s="3" t="s">
        <v>210</v>
      </c>
      <c r="L113" s="4"/>
      <c r="M113" s="4">
        <v>54290.8</v>
      </c>
      <c r="N113" s="4">
        <v>72290.8</v>
      </c>
      <c r="P113" s="4">
        <v>72000</v>
      </c>
      <c r="Q113" s="4">
        <v>54400</v>
      </c>
      <c r="R113" s="4">
        <v>60543.3</v>
      </c>
      <c r="T113" s="4">
        <f>(4558.95/1.077)*12</f>
        <v>50796.10027855153</v>
      </c>
      <c r="U113" s="4">
        <v>38045</v>
      </c>
      <c r="V113" s="4">
        <v>50744</v>
      </c>
      <c r="X113" s="4">
        <v>26000</v>
      </c>
      <c r="Y113" s="92">
        <f t="shared" si="37"/>
        <v>13000</v>
      </c>
      <c r="Z113" s="116">
        <v>13017.3</v>
      </c>
      <c r="AB113" s="116">
        <v>13017.3</v>
      </c>
      <c r="AE113" s="113"/>
      <c r="AG113" s="142"/>
    </row>
    <row r="114" spans="2:38" x14ac:dyDescent="0.25">
      <c r="D114" s="3" t="s">
        <v>208</v>
      </c>
      <c r="M114" s="16"/>
      <c r="N114" s="16"/>
      <c r="Q114" s="16"/>
      <c r="R114" s="4">
        <v>400</v>
      </c>
      <c r="T114" s="16">
        <v>15000</v>
      </c>
      <c r="U114" s="4">
        <v>11654.5</v>
      </c>
      <c r="V114" s="4">
        <v>23848.9</v>
      </c>
      <c r="X114" s="4">
        <v>15000</v>
      </c>
      <c r="Y114" s="92">
        <f t="shared" si="37"/>
        <v>7500</v>
      </c>
      <c r="Z114" s="113">
        <v>0</v>
      </c>
      <c r="AB114" s="113">
        <v>-48282.25</v>
      </c>
      <c r="AE114" s="116">
        <v>300000</v>
      </c>
      <c r="AH114" s="154"/>
    </row>
    <row r="115" spans="2:38" x14ac:dyDescent="0.25">
      <c r="D115" s="3" t="s">
        <v>209</v>
      </c>
      <c r="F115" s="116"/>
      <c r="G115" s="116"/>
      <c r="J115" s="116"/>
      <c r="M115" s="119"/>
      <c r="N115" s="119"/>
      <c r="P115" s="116"/>
      <c r="Q115" s="119"/>
      <c r="R115" s="116"/>
      <c r="T115" s="119"/>
      <c r="U115" s="116"/>
      <c r="V115" s="116"/>
      <c r="X115" s="116"/>
      <c r="Y115" s="124"/>
      <c r="Z115" s="116">
        <v>5956.4</v>
      </c>
      <c r="AB115" s="116">
        <v>5956.4</v>
      </c>
      <c r="AE115" s="116">
        <v>2000</v>
      </c>
      <c r="AG115" s="142"/>
      <c r="AL115" s="115"/>
    </row>
    <row r="116" spans="2:38" hidden="1" x14ac:dyDescent="0.25">
      <c r="D116" s="3" t="s">
        <v>111</v>
      </c>
      <c r="M116" s="16"/>
      <c r="N116" s="16"/>
      <c r="Q116" s="16"/>
      <c r="R116" s="4"/>
      <c r="U116" s="4"/>
      <c r="V116" s="4"/>
      <c r="X116" s="119">
        <v>-75000</v>
      </c>
      <c r="Y116" s="92">
        <f t="shared" si="37"/>
        <v>-37500</v>
      </c>
      <c r="Z116" s="116"/>
      <c r="AE116" s="116"/>
      <c r="AG116" s="142"/>
    </row>
    <row r="117" spans="2:38" x14ac:dyDescent="0.25">
      <c r="D117" s="3" t="s">
        <v>196</v>
      </c>
      <c r="F117" s="116"/>
      <c r="G117" s="116"/>
      <c r="J117" s="116"/>
      <c r="M117" s="119"/>
      <c r="N117" s="119"/>
      <c r="P117" s="116"/>
      <c r="Q117" s="119"/>
      <c r="R117" s="116"/>
      <c r="T117" s="119"/>
      <c r="U117" s="116"/>
      <c r="V117" s="116"/>
      <c r="X117" s="119"/>
      <c r="Y117" s="124"/>
      <c r="Z117" s="116">
        <v>467.1</v>
      </c>
      <c r="AB117" s="116">
        <v>862.1</v>
      </c>
      <c r="AE117" s="116">
        <v>0</v>
      </c>
      <c r="AG117" s="142"/>
      <c r="AL117" s="115"/>
    </row>
    <row r="118" spans="2:38" ht="13.5" customHeight="1" x14ac:dyDescent="0.25">
      <c r="F118" s="8">
        <f t="shared" ref="F118:N118" si="38">SUM(F103:F114)</f>
        <v>29706.9</v>
      </c>
      <c r="G118" s="8">
        <f>SUM(G103:G114)</f>
        <v>27706.9</v>
      </c>
      <c r="H118" s="126">
        <f>100/G$9*G118</f>
        <v>1.5905258393729467</v>
      </c>
      <c r="I118" s="21">
        <f t="shared" si="38"/>
        <v>28200</v>
      </c>
      <c r="J118" s="17">
        <f>SUM(J103:J114)</f>
        <v>36822.179999999993</v>
      </c>
      <c r="K118" s="126">
        <f>100/J$9*J118</f>
        <v>1.9600559665582931</v>
      </c>
      <c r="L118" s="21">
        <f t="shared" si="38"/>
        <v>81300</v>
      </c>
      <c r="M118" s="17">
        <f t="shared" si="38"/>
        <v>86500.14</v>
      </c>
      <c r="N118" s="17">
        <f t="shared" si="38"/>
        <v>111673.35</v>
      </c>
      <c r="O118" s="126">
        <f>100/N$9*N118</f>
        <v>5.1959928376455249</v>
      </c>
      <c r="P118" s="8">
        <f>SUM(P103:P114)</f>
        <v>123131.53333333333</v>
      </c>
      <c r="Q118" s="17">
        <f>SUM(Q103:Q114)</f>
        <v>82252.45</v>
      </c>
      <c r="R118" s="8">
        <f>SUM(R103:R114)</f>
        <v>96472.290000000008</v>
      </c>
      <c r="S118" s="126">
        <f>100/R$9*R118</f>
        <v>4.0125154402479266</v>
      </c>
      <c r="T118" s="8">
        <f>SUM(T103:T114)</f>
        <v>94338.340278551535</v>
      </c>
      <c r="U118" s="8">
        <f>SUM(U103:U114)</f>
        <v>74308.41</v>
      </c>
      <c r="V118" s="8">
        <f>SUM(V103:V117)</f>
        <v>104770.68</v>
      </c>
      <c r="W118" s="126">
        <f>100/$V$9*V118</f>
        <v>3.4198477273149086</v>
      </c>
      <c r="X118" s="8">
        <f>SUM(X103:Y117)</f>
        <v>8550</v>
      </c>
      <c r="Y118" s="95">
        <f>SUM(Y103:Y116)</f>
        <v>2850</v>
      </c>
      <c r="Z118" s="118">
        <f>SUM(Z103:Z117)</f>
        <v>44453.95</v>
      </c>
      <c r="AA118" s="125">
        <f>100/Z$9*Z118</f>
        <v>3.0916276023749321</v>
      </c>
      <c r="AB118" s="118">
        <f>SUM(AB103:AB117)</f>
        <v>2833.6199999999949</v>
      </c>
      <c r="AC118" s="126">
        <f>100/AB$9*AB118</f>
        <v>0.15759615152202375</v>
      </c>
      <c r="AE118" s="118">
        <f>SUM(AE103:AE117)</f>
        <v>330200</v>
      </c>
      <c r="AF118" s="126">
        <f>100/AE$9*AE118</f>
        <v>15.009090909090908</v>
      </c>
      <c r="AG118" s="142"/>
    </row>
    <row r="119" spans="2:38" x14ac:dyDescent="0.25">
      <c r="C119" s="2" t="s">
        <v>52</v>
      </c>
      <c r="AG119" s="142"/>
    </row>
    <row r="120" spans="2:38" x14ac:dyDescent="0.25">
      <c r="D120" s="3" t="s">
        <v>53</v>
      </c>
      <c r="F120" s="4">
        <v>12216.59</v>
      </c>
      <c r="G120" s="4">
        <v>12216.59</v>
      </c>
      <c r="I120" s="19">
        <v>5000</v>
      </c>
      <c r="J120" s="4">
        <v>3822.06</v>
      </c>
      <c r="L120" s="19">
        <v>5000</v>
      </c>
      <c r="M120" s="19">
        <v>9081.57</v>
      </c>
      <c r="N120" s="4">
        <v>10535.76</v>
      </c>
      <c r="P120" s="4">
        <v>12108.76</v>
      </c>
      <c r="Q120" s="19">
        <v>5833.13</v>
      </c>
      <c r="R120" s="4">
        <v>5328.2</v>
      </c>
      <c r="T120" s="4">
        <v>5328.2</v>
      </c>
      <c r="U120" s="4">
        <v>8023.8</v>
      </c>
      <c r="V120" s="4">
        <v>21971.08</v>
      </c>
      <c r="X120" s="4">
        <v>10000</v>
      </c>
      <c r="Y120" s="92">
        <f>X120/2</f>
        <v>5000</v>
      </c>
      <c r="Z120" s="116">
        <v>10509.24</v>
      </c>
      <c r="AB120" s="116">
        <v>6657.96</v>
      </c>
      <c r="AE120" s="116">
        <v>5000</v>
      </c>
      <c r="AG120" s="142"/>
    </row>
    <row r="121" spans="2:38" x14ac:dyDescent="0.25">
      <c r="D121" s="3" t="s">
        <v>52</v>
      </c>
      <c r="F121" s="4">
        <v>18452.3</v>
      </c>
      <c r="G121" s="4">
        <v>18452.3</v>
      </c>
      <c r="I121" s="19">
        <v>12000</v>
      </c>
      <c r="J121" s="4">
        <v>10600</v>
      </c>
      <c r="L121" s="19">
        <v>12000</v>
      </c>
      <c r="M121" s="19">
        <v>7200</v>
      </c>
      <c r="N121" s="4">
        <v>9900</v>
      </c>
      <c r="P121" s="4">
        <v>12000</v>
      </c>
      <c r="Q121" s="19">
        <v>9464.4</v>
      </c>
      <c r="R121" s="4">
        <v>13214.4</v>
      </c>
      <c r="T121" s="4">
        <v>13214.4</v>
      </c>
      <c r="U121" s="4">
        <v>6800.78</v>
      </c>
      <c r="V121" s="4">
        <v>11224.08</v>
      </c>
      <c r="X121" s="4">
        <v>11000</v>
      </c>
      <c r="Y121" s="92">
        <f>X121/2</f>
        <v>5500</v>
      </c>
      <c r="Z121" s="116">
        <v>5478.5</v>
      </c>
      <c r="AB121" s="116">
        <v>11115.45</v>
      </c>
      <c r="AE121" s="116">
        <v>5000</v>
      </c>
      <c r="AG121" s="142"/>
    </row>
    <row r="122" spans="2:38" x14ac:dyDescent="0.25">
      <c r="D122" s="3" t="s">
        <v>211</v>
      </c>
      <c r="F122" s="16">
        <f>32855.27-F121</f>
        <v>14402.969999999998</v>
      </c>
      <c r="G122" s="4">
        <f>32855.27-G121</f>
        <v>14402.969999999998</v>
      </c>
      <c r="I122" s="19">
        <v>18000</v>
      </c>
      <c r="J122" s="4">
        <f>16952.9-J121+9088.43</f>
        <v>15441.330000000002</v>
      </c>
      <c r="L122" s="19">
        <v>15000</v>
      </c>
      <c r="M122" s="19">
        <v>7317.63</v>
      </c>
      <c r="N122" s="4">
        <f>9407.83+1753.07</f>
        <v>11160.9</v>
      </c>
      <c r="P122" s="4">
        <v>10000</v>
      </c>
      <c r="Q122" s="19">
        <v>8175.98</v>
      </c>
      <c r="R122" s="4">
        <v>14235.35</v>
      </c>
      <c r="T122" s="4">
        <v>14235.35</v>
      </c>
      <c r="U122" s="4">
        <v>11250</v>
      </c>
      <c r="V122" s="4">
        <v>15000</v>
      </c>
      <c r="X122" s="4">
        <v>17000</v>
      </c>
      <c r="Y122" s="92">
        <f>X122/2</f>
        <v>8500</v>
      </c>
      <c r="Z122" s="116">
        <v>11250</v>
      </c>
      <c r="AB122" s="116">
        <v>11800</v>
      </c>
      <c r="AE122" s="116">
        <v>4800</v>
      </c>
      <c r="AG122" s="142"/>
    </row>
    <row r="123" spans="2:38" x14ac:dyDescent="0.25">
      <c r="D123" s="3" t="s">
        <v>212</v>
      </c>
      <c r="F123" s="16"/>
      <c r="M123" s="19">
        <v>1753.07</v>
      </c>
      <c r="Q123" s="19">
        <v>2009.83</v>
      </c>
      <c r="R123" s="4">
        <v>2813.69</v>
      </c>
      <c r="T123" s="4">
        <v>2813.69</v>
      </c>
      <c r="U123" s="4">
        <v>521.26</v>
      </c>
      <c r="V123" s="4">
        <v>2638.76</v>
      </c>
      <c r="X123" s="4">
        <v>4000</v>
      </c>
      <c r="Y123" s="92">
        <f>X123/2</f>
        <v>2000</v>
      </c>
      <c r="Z123" s="116">
        <v>0</v>
      </c>
      <c r="AB123" s="116">
        <v>0</v>
      </c>
      <c r="AE123" s="116">
        <v>0</v>
      </c>
      <c r="AG123" s="142"/>
    </row>
    <row r="124" spans="2:38" x14ac:dyDescent="0.25">
      <c r="F124" s="8">
        <f t="shared" ref="F124:L124" si="39">SUM(F120:F122)</f>
        <v>45071.86</v>
      </c>
      <c r="G124" s="17">
        <f>SUM(G120:G123)</f>
        <v>45071.86</v>
      </c>
      <c r="H124" s="126">
        <f>100/G$9*G124</f>
        <v>2.5873684157592489</v>
      </c>
      <c r="I124" s="21">
        <f t="shared" si="39"/>
        <v>35000</v>
      </c>
      <c r="J124" s="17">
        <f>SUM(J120:J123)</f>
        <v>29863.39</v>
      </c>
      <c r="K124" s="126">
        <f>100/J$9*J124</f>
        <v>1.5896374345885353</v>
      </c>
      <c r="L124" s="21">
        <f t="shared" si="39"/>
        <v>32000</v>
      </c>
      <c r="M124" s="17">
        <f>SUM(M120:M123)</f>
        <v>25352.27</v>
      </c>
      <c r="N124" s="17">
        <f>SUM(N120:N123)</f>
        <v>31596.660000000003</v>
      </c>
      <c r="O124" s="126">
        <f>100/N$9*N124</f>
        <v>1.4701450171730395</v>
      </c>
      <c r="P124" s="8">
        <f>SUM(P120:P123)</f>
        <v>34108.76</v>
      </c>
      <c r="Q124" s="17">
        <f>SUM(Q120:Q123)</f>
        <v>25483.339999999997</v>
      </c>
      <c r="R124" s="8">
        <f>SUM(R120:R123)</f>
        <v>35591.64</v>
      </c>
      <c r="S124" s="126">
        <f>100/R$9*R124</f>
        <v>1.4803422313676362</v>
      </c>
      <c r="T124" s="8">
        <f>SUM(T120:T123)</f>
        <v>35591.64</v>
      </c>
      <c r="U124" s="8">
        <f>SUM(U120:U123)</f>
        <v>26595.84</v>
      </c>
      <c r="V124" s="8">
        <f>SUM(V120:V123)</f>
        <v>50833.920000000006</v>
      </c>
      <c r="W124" s="126">
        <f>100/$V$9*V124</f>
        <v>1.6592835493909928</v>
      </c>
      <c r="X124" s="8">
        <f>SUM(X120:X123)</f>
        <v>42000</v>
      </c>
      <c r="Y124" s="95">
        <f>SUM(Y120:Y123)</f>
        <v>21000</v>
      </c>
      <c r="Z124" s="118">
        <f>SUM(Z120:Z123)</f>
        <v>27237.739999999998</v>
      </c>
      <c r="AA124" s="125">
        <f>100/Z$9*Z124</f>
        <v>1.8942962056310357</v>
      </c>
      <c r="AB124" s="118">
        <f>SUM(AB120:AB123)</f>
        <v>29573.41</v>
      </c>
      <c r="AC124" s="126">
        <f>100/AB$9*AB124</f>
        <v>1.6447708596717066</v>
      </c>
      <c r="AE124" s="118">
        <f>SUM(AE120:AE123)</f>
        <v>14800</v>
      </c>
      <c r="AF124" s="126">
        <f>100/AE$9*AE124</f>
        <v>0.67272727272727273</v>
      </c>
      <c r="AG124" s="142"/>
    </row>
    <row r="125" spans="2:38" x14ac:dyDescent="0.25">
      <c r="I125" s="22"/>
      <c r="J125" s="12"/>
      <c r="L125" s="22"/>
      <c r="M125" s="22"/>
      <c r="N125" s="12"/>
      <c r="P125" s="12"/>
      <c r="Q125" s="22"/>
      <c r="R125" s="24"/>
      <c r="T125" s="24"/>
      <c r="U125" s="24"/>
      <c r="V125" s="24"/>
      <c r="X125" s="12"/>
      <c r="Y125" s="96"/>
      <c r="Z125" s="120"/>
      <c r="AB125" s="120"/>
      <c r="AE125" s="120"/>
      <c r="AG125" s="142"/>
    </row>
    <row r="126" spans="2:38" x14ac:dyDescent="0.25">
      <c r="AG126" s="142"/>
    </row>
    <row r="127" spans="2:38" x14ac:dyDescent="0.25">
      <c r="B127" s="9" t="s">
        <v>11</v>
      </c>
      <c r="C127" s="9"/>
      <c r="D127" s="10"/>
      <c r="E127" s="11"/>
      <c r="F127" s="8">
        <f ca="1">F72+F75+F80+F88+F98+F101+F118+F124</f>
        <v>686658.51</v>
      </c>
      <c r="G127" s="8">
        <f>G72+G75+G80+G88+G98+G101+G118+G124</f>
        <v>685477.51</v>
      </c>
      <c r="H127" s="126">
        <f>100/G$9*G127</f>
        <v>39.350114663279811</v>
      </c>
      <c r="I127" s="21">
        <f>I72+I75+I80+I88+I98+I101+I118+I124</f>
        <v>667685.66666666663</v>
      </c>
      <c r="J127" s="17">
        <f>J72+J75+J80+J88+J98+J101+J118+J124</f>
        <v>666483.62</v>
      </c>
      <c r="K127" s="126">
        <f>100/J$9*J127</f>
        <v>35.477128078630066</v>
      </c>
      <c r="L127" s="21">
        <f>L72+L75+L80+L88+L98+L101+L118+L124</f>
        <v>833826</v>
      </c>
      <c r="M127" s="17">
        <f>M72+M75+M80+M88+M98+M101+M118+M124</f>
        <v>606330.60000000009</v>
      </c>
      <c r="N127" s="17">
        <f>N72+N75+N80+N88+N98+N101+N118+N124</f>
        <v>861234.49</v>
      </c>
      <c r="O127" s="126">
        <f>100/N$9*N127</f>
        <v>40.071944126090031</v>
      </c>
      <c r="P127" s="8" t="e">
        <f>P72+P75+P80+P88+P98+P101+P118+P124</f>
        <v>#REF!</v>
      </c>
      <c r="Q127" s="17">
        <f>Q72+Q75+Q80+Q88+Q98+Q101+Q118+Q124</f>
        <v>752583.89999999991</v>
      </c>
      <c r="R127" s="8">
        <f>R72+R75+R80+R88+R98+R101+R118+R124</f>
        <v>999211.55</v>
      </c>
      <c r="S127" s="126">
        <f>100/R$9*R127</f>
        <v>41.559620616957083</v>
      </c>
      <c r="T127" s="8">
        <f>T72+T75+T80+T88+T98+T101+T118+T124</f>
        <v>1035045.0932785517</v>
      </c>
      <c r="U127" s="8">
        <f>U72+U75+U80+U88+U98+U101+U118+U124</f>
        <v>760456.49</v>
      </c>
      <c r="V127" s="8">
        <f>V72+V75+V80+V88+V98+V101+V118+V124</f>
        <v>1047674.59</v>
      </c>
      <c r="W127" s="126">
        <f>100/$V$9*V127</f>
        <v>34.197425897942807</v>
      </c>
      <c r="X127" s="8">
        <f>X72+X75+X80+X88+X98+X101+X118+X124</f>
        <v>937208</v>
      </c>
      <c r="Y127" s="95">
        <f>Y72+Y75+Y80+Y88+Y98+Y101+Y118+Y124</f>
        <v>467179</v>
      </c>
      <c r="Z127" s="118">
        <f>Z72+Z75+Z80+Z88+Z98+Z101+Z118+Z124</f>
        <v>702733.34999999986</v>
      </c>
      <c r="AA127" s="125">
        <f>100/Z$9*Z127</f>
        <v>48.872818320293327</v>
      </c>
      <c r="AB127" s="118">
        <f>AB72+AB75+AB80+AB88+AB98+AB101+AB118+AB124</f>
        <v>891503.39000000013</v>
      </c>
      <c r="AC127" s="126">
        <f>100/AB$9*AB127</f>
        <v>49.582337551555291</v>
      </c>
      <c r="AE127" s="118">
        <f>AE72+AE75+AE80+AE88+AE98+AE101+AE118+AE124</f>
        <v>1071367.4100000001</v>
      </c>
      <c r="AF127" s="126">
        <f>100/AE$9*AE127</f>
        <v>48.698518636363637</v>
      </c>
      <c r="AG127" s="142"/>
      <c r="AI127" s="29"/>
    </row>
    <row r="128" spans="2:38" x14ac:dyDescent="0.25">
      <c r="B128" s="2"/>
      <c r="I128" s="22"/>
      <c r="J128" s="12"/>
      <c r="L128" s="22"/>
      <c r="M128" s="22"/>
      <c r="N128" s="12"/>
      <c r="P128" s="12"/>
      <c r="Q128" s="22"/>
      <c r="R128" s="12"/>
      <c r="T128" s="12"/>
      <c r="U128" s="12"/>
      <c r="V128" s="12"/>
      <c r="X128" s="12"/>
      <c r="Y128" s="96"/>
      <c r="Z128" s="12"/>
      <c r="AB128" s="12"/>
      <c r="AE128" s="12"/>
      <c r="AG128" s="142"/>
    </row>
    <row r="129" spans="2:35" s="50" customFormat="1" ht="15.75" thickBot="1" x14ac:dyDescent="0.3">
      <c r="B129" s="30" t="s">
        <v>125</v>
      </c>
      <c r="C129" s="30"/>
      <c r="F129" s="101">
        <f ca="1">F53-F127</f>
        <v>-77837.569999999832</v>
      </c>
      <c r="G129" s="105">
        <f>G53-G127</f>
        <v>-30903.569999999949</v>
      </c>
      <c r="H129" s="126">
        <f>100/G$9*G129</f>
        <v>-1.7740319780946452</v>
      </c>
      <c r="I129" s="102">
        <f>I53-I127</f>
        <v>65214.333333333372</v>
      </c>
      <c r="J129" s="105">
        <f>J53-J127</f>
        <v>146037.9600000002</v>
      </c>
      <c r="K129" s="126">
        <f>100/J$9*J129</f>
        <v>7.7736455267450699</v>
      </c>
      <c r="L129" s="102">
        <f>L53-L127</f>
        <v>19124</v>
      </c>
      <c r="M129" s="105">
        <f>M53-M127</f>
        <v>131030.56999999995</v>
      </c>
      <c r="N129" s="105">
        <f>N53-N127</f>
        <v>56032.269999999553</v>
      </c>
      <c r="O129" s="126">
        <f>100/N$9*N129</f>
        <v>2.607097159680603</v>
      </c>
      <c r="P129" s="101" t="e">
        <f>P53-P127</f>
        <v>#REF!</v>
      </c>
      <c r="Q129" s="105">
        <f>Q53-Q127</f>
        <v>78435.170000000158</v>
      </c>
      <c r="R129" s="101">
        <f>R53-R127</f>
        <v>39405.029999999562</v>
      </c>
      <c r="S129" s="126">
        <f>100/R$9*R129</f>
        <v>1.638950327585579</v>
      </c>
      <c r="T129" s="101">
        <f>T53-T127</f>
        <v>117702.65672144759</v>
      </c>
      <c r="U129" s="101">
        <f>U53-U127</f>
        <v>167034.99999999953</v>
      </c>
      <c r="V129" s="101">
        <f>V53-V127</f>
        <v>87754.379999999772</v>
      </c>
      <c r="W129" s="126">
        <f>100/$V$9*V129</f>
        <v>2.8644141376664551</v>
      </c>
      <c r="X129" s="101">
        <f>X53-X127</f>
        <v>77742</v>
      </c>
      <c r="Y129" s="103">
        <f>Y53-Y127</f>
        <v>40296</v>
      </c>
      <c r="Z129" s="101">
        <f>Z53-Z127</f>
        <v>70236.800000000163</v>
      </c>
      <c r="AA129" s="125">
        <f>100/Z$9*Z129</f>
        <v>4.8847409416370908</v>
      </c>
      <c r="AB129" s="101">
        <f>AB53-AB127</f>
        <v>-30504.020000000251</v>
      </c>
      <c r="AC129" s="126">
        <f>100/AB$9*AB129</f>
        <v>-1.6965281717205876</v>
      </c>
      <c r="AD129" s="126"/>
      <c r="AE129" s="101">
        <f>AE53-AE127</f>
        <v>48082.589999999851</v>
      </c>
      <c r="AF129" s="126">
        <f>100/AE$9*AE129</f>
        <v>2.1855722727272657</v>
      </c>
      <c r="AG129" s="142"/>
      <c r="AH129" s="151"/>
    </row>
    <row r="130" spans="2:35" ht="15.75" thickTop="1" x14ac:dyDescent="0.25">
      <c r="B130" s="2"/>
      <c r="I130" s="22"/>
      <c r="J130" s="12"/>
      <c r="L130" s="22"/>
      <c r="M130" s="22"/>
      <c r="N130" s="12"/>
      <c r="P130" s="12"/>
      <c r="Q130" s="22"/>
      <c r="R130" s="24"/>
      <c r="T130" s="24"/>
      <c r="U130" s="24"/>
      <c r="V130" s="24"/>
      <c r="X130" s="12"/>
      <c r="Y130" s="96"/>
      <c r="Z130" s="120"/>
      <c r="AB130" s="120"/>
      <c r="AE130" s="120"/>
      <c r="AG130" s="142"/>
    </row>
    <row r="131" spans="2:35" x14ac:dyDescent="0.25">
      <c r="B131" s="7" t="s">
        <v>54</v>
      </c>
      <c r="AG131" s="142"/>
    </row>
    <row r="132" spans="2:35" x14ac:dyDescent="0.25">
      <c r="AG132" s="142"/>
    </row>
    <row r="133" spans="2:35" x14ac:dyDescent="0.25">
      <c r="C133" s="2" t="s">
        <v>113</v>
      </c>
      <c r="AG133" s="142"/>
    </row>
    <row r="134" spans="2:35" x14ac:dyDescent="0.25">
      <c r="D134" s="3" t="s">
        <v>109</v>
      </c>
      <c r="R134" s="4"/>
      <c r="T134" s="4"/>
      <c r="U134" s="4">
        <v>1875</v>
      </c>
      <c r="V134" s="4">
        <v>2500</v>
      </c>
      <c r="X134" s="4">
        <v>2000</v>
      </c>
      <c r="Y134" s="92">
        <f t="shared" ref="Y134:Y139" si="40">X134/2</f>
        <v>1000</v>
      </c>
      <c r="Z134" s="116">
        <v>1875</v>
      </c>
      <c r="AB134" s="116">
        <v>2500</v>
      </c>
      <c r="AE134" s="116">
        <v>2500</v>
      </c>
      <c r="AG134" s="142"/>
    </row>
    <row r="135" spans="2:35" x14ac:dyDescent="0.25">
      <c r="D135" s="3" t="s">
        <v>55</v>
      </c>
      <c r="F135" s="4">
        <v>500</v>
      </c>
      <c r="G135" s="4">
        <v>250</v>
      </c>
      <c r="I135" s="19">
        <v>250</v>
      </c>
      <c r="J135" s="4">
        <v>250</v>
      </c>
      <c r="L135" s="19">
        <v>250</v>
      </c>
      <c r="M135" s="19">
        <v>180</v>
      </c>
      <c r="N135" s="4">
        <v>500</v>
      </c>
      <c r="P135" s="4">
        <v>240</v>
      </c>
      <c r="Q135" s="19">
        <v>0</v>
      </c>
      <c r="R135" s="4">
        <v>300</v>
      </c>
      <c r="T135" s="4">
        <v>300</v>
      </c>
      <c r="U135" s="1">
        <v>450</v>
      </c>
      <c r="V135" s="4">
        <v>600</v>
      </c>
      <c r="X135" s="4">
        <v>600</v>
      </c>
      <c r="Y135" s="92">
        <f t="shared" si="40"/>
        <v>300</v>
      </c>
      <c r="Z135" s="1">
        <v>496.15</v>
      </c>
      <c r="AB135" s="116">
        <v>656.15</v>
      </c>
      <c r="AE135" s="116">
        <v>712</v>
      </c>
      <c r="AG135" s="142"/>
    </row>
    <row r="136" spans="2:35" x14ac:dyDescent="0.25">
      <c r="D136" s="3" t="s">
        <v>110</v>
      </c>
      <c r="F136" s="4">
        <v>3865.98</v>
      </c>
      <c r="G136" s="4">
        <v>1935.98</v>
      </c>
      <c r="I136" s="19">
        <v>1900</v>
      </c>
      <c r="J136" s="4">
        <v>1900</v>
      </c>
      <c r="L136" s="19">
        <v>1900</v>
      </c>
      <c r="M136" s="19">
        <v>770</v>
      </c>
      <c r="N136" s="4">
        <v>1987</v>
      </c>
      <c r="P136" s="4">
        <v>1026.6666666666667</v>
      </c>
      <c r="Q136" s="19">
        <v>1700</v>
      </c>
      <c r="R136" s="4">
        <v>2174.11</v>
      </c>
      <c r="T136" s="4">
        <v>2174.11</v>
      </c>
      <c r="U136" s="4">
        <v>1870</v>
      </c>
      <c r="V136" s="4">
        <v>2503.2399999999998</v>
      </c>
      <c r="X136" s="4">
        <v>900</v>
      </c>
      <c r="Y136" s="92">
        <f t="shared" si="40"/>
        <v>450</v>
      </c>
      <c r="Z136" s="116">
        <v>660</v>
      </c>
      <c r="AB136" s="116">
        <v>880</v>
      </c>
      <c r="AE136" s="116">
        <v>0</v>
      </c>
      <c r="AG136" s="142"/>
    </row>
    <row r="137" spans="2:35" x14ac:dyDescent="0.25">
      <c r="D137" s="3" t="s">
        <v>56</v>
      </c>
      <c r="F137" s="4">
        <v>5650</v>
      </c>
      <c r="G137" s="4">
        <v>2850</v>
      </c>
      <c r="I137" s="19">
        <v>2800</v>
      </c>
      <c r="J137" s="4">
        <v>3400</v>
      </c>
      <c r="L137" s="19">
        <v>3400</v>
      </c>
      <c r="M137" s="19">
        <v>1650</v>
      </c>
      <c r="N137" s="4">
        <v>540</v>
      </c>
      <c r="P137" s="4">
        <v>2200</v>
      </c>
      <c r="Q137" s="19">
        <v>420</v>
      </c>
      <c r="R137" s="4">
        <v>560</v>
      </c>
      <c r="T137" s="4">
        <v>560</v>
      </c>
      <c r="U137" s="4">
        <v>645</v>
      </c>
      <c r="V137" s="4">
        <v>858.51</v>
      </c>
      <c r="X137" s="4">
        <v>840</v>
      </c>
      <c r="Y137" s="92">
        <f t="shared" si="40"/>
        <v>420</v>
      </c>
      <c r="Z137" s="116">
        <v>225</v>
      </c>
      <c r="AB137" s="116">
        <v>837.5</v>
      </c>
      <c r="AE137" s="116">
        <v>297.5</v>
      </c>
      <c r="AG137" s="142"/>
    </row>
    <row r="138" spans="2:35" x14ac:dyDescent="0.25">
      <c r="D138" s="3" t="s">
        <v>57</v>
      </c>
      <c r="F138" s="4">
        <v>2400</v>
      </c>
      <c r="G138" s="4">
        <v>1200</v>
      </c>
      <c r="I138" s="19">
        <v>1200</v>
      </c>
      <c r="J138" s="4">
        <v>1200</v>
      </c>
      <c r="L138" s="19">
        <v>1200</v>
      </c>
      <c r="M138" s="19">
        <v>600</v>
      </c>
      <c r="N138" s="4">
        <v>800</v>
      </c>
      <c r="P138" s="4">
        <v>800</v>
      </c>
      <c r="Q138" s="19">
        <v>0</v>
      </c>
      <c r="R138" s="4">
        <v>0</v>
      </c>
      <c r="T138" s="4">
        <v>0</v>
      </c>
      <c r="U138" s="4">
        <v>0</v>
      </c>
      <c r="V138" s="4">
        <v>0</v>
      </c>
      <c r="X138" s="4">
        <v>0</v>
      </c>
      <c r="Y138" s="92">
        <f t="shared" si="40"/>
        <v>0</v>
      </c>
      <c r="Z138" s="116">
        <v>0</v>
      </c>
      <c r="AB138" s="116">
        <v>0</v>
      </c>
      <c r="AE138" s="116">
        <v>0</v>
      </c>
      <c r="AG138" s="142"/>
    </row>
    <row r="139" spans="2:35" x14ac:dyDescent="0.25">
      <c r="D139" s="3" t="s">
        <v>58</v>
      </c>
      <c r="F139" s="4">
        <v>17158.509999999998</v>
      </c>
      <c r="G139" s="4">
        <v>8618.51</v>
      </c>
      <c r="I139" s="19">
        <v>8600</v>
      </c>
      <c r="J139" s="4">
        <v>10700</v>
      </c>
      <c r="L139" s="19">
        <v>10700</v>
      </c>
      <c r="M139" s="19">
        <v>8000</v>
      </c>
      <c r="N139" s="4">
        <v>13000</v>
      </c>
      <c r="P139" s="4">
        <v>10666.666666666668</v>
      </c>
      <c r="Q139" s="19">
        <v>5300</v>
      </c>
      <c r="R139" s="4">
        <v>6900</v>
      </c>
      <c r="T139" s="4">
        <v>6900</v>
      </c>
      <c r="U139" s="4">
        <v>5300</v>
      </c>
      <c r="V139" s="4">
        <v>6900</v>
      </c>
      <c r="X139" s="4">
        <v>7000</v>
      </c>
      <c r="Y139" s="92">
        <f t="shared" si="40"/>
        <v>3500</v>
      </c>
      <c r="Z139" s="116">
        <v>4900</v>
      </c>
      <c r="AB139" s="116">
        <v>6822.45</v>
      </c>
      <c r="AE139" s="116">
        <v>3690</v>
      </c>
      <c r="AG139" s="142"/>
    </row>
    <row r="140" spans="2:35" hidden="1" x14ac:dyDescent="0.25">
      <c r="D140" s="3" t="s">
        <v>59</v>
      </c>
      <c r="R140" s="4"/>
      <c r="T140" s="4"/>
      <c r="U140" s="4"/>
      <c r="V140" s="4"/>
      <c r="Z140" s="116"/>
      <c r="AB140" s="116"/>
      <c r="AE140" s="116"/>
      <c r="AG140" s="142"/>
    </row>
    <row r="141" spans="2:35" x14ac:dyDescent="0.25">
      <c r="D141" s="3" t="s">
        <v>60</v>
      </c>
      <c r="F141" s="4">
        <v>8600</v>
      </c>
      <c r="G141" s="4">
        <v>4300</v>
      </c>
      <c r="I141" s="19">
        <v>4300</v>
      </c>
      <c r="J141" s="4">
        <v>8600</v>
      </c>
      <c r="L141" s="19">
        <v>8600</v>
      </c>
      <c r="M141" s="19">
        <v>6500</v>
      </c>
      <c r="N141" s="116">
        <v>13700</v>
      </c>
      <c r="P141" s="4">
        <v>8666.6666666666679</v>
      </c>
      <c r="Q141" s="19">
        <v>0</v>
      </c>
      <c r="R141" s="4">
        <v>0</v>
      </c>
      <c r="T141" s="4">
        <v>0</v>
      </c>
      <c r="U141" s="4">
        <v>0</v>
      </c>
      <c r="V141" s="4">
        <v>0</v>
      </c>
      <c r="X141" s="4">
        <v>0</v>
      </c>
      <c r="Y141" s="92">
        <v>0</v>
      </c>
      <c r="Z141" s="116">
        <v>0</v>
      </c>
      <c r="AB141" s="116">
        <v>0</v>
      </c>
      <c r="AE141" s="116">
        <v>0</v>
      </c>
      <c r="AG141" s="142"/>
    </row>
    <row r="142" spans="2:35" x14ac:dyDescent="0.25">
      <c r="D142" s="7"/>
      <c r="F142" s="8">
        <f t="shared" ref="F142:N142" si="41">SUM(F134:F141)</f>
        <v>38174.49</v>
      </c>
      <c r="G142" s="8">
        <f t="shared" si="41"/>
        <v>19154.489999999998</v>
      </c>
      <c r="H142" s="126">
        <f>100/G$9*G142</f>
        <v>1.0995712723188342</v>
      </c>
      <c r="I142" s="21">
        <f t="shared" si="41"/>
        <v>19050</v>
      </c>
      <c r="J142" s="17">
        <f t="shared" si="41"/>
        <v>26050</v>
      </c>
      <c r="K142" s="126">
        <f>100/J$9*J142</f>
        <v>1.3866495120289877</v>
      </c>
      <c r="L142" s="21">
        <f t="shared" si="41"/>
        <v>26050</v>
      </c>
      <c r="M142" s="17">
        <f t="shared" si="41"/>
        <v>17700</v>
      </c>
      <c r="N142" s="17">
        <f t="shared" si="41"/>
        <v>30527</v>
      </c>
      <c r="O142" s="126">
        <f>100/N$9*N142</f>
        <v>1.4203753478766861</v>
      </c>
      <c r="P142" s="8">
        <f>SUM(P134:P141)</f>
        <v>23600.000000000004</v>
      </c>
      <c r="Q142" s="17">
        <f>SUM(Q134:Q141)</f>
        <v>7420</v>
      </c>
      <c r="R142" s="8">
        <f>SUM(R134:R141)</f>
        <v>9934.11</v>
      </c>
      <c r="S142" s="126">
        <f>100/R$9*R142</f>
        <v>0.41318361739025089</v>
      </c>
      <c r="T142" s="8">
        <f>SUM(T134:T141)</f>
        <v>9934.11</v>
      </c>
      <c r="U142" s="8">
        <f>SUM(U134:U141)</f>
        <v>10140</v>
      </c>
      <c r="V142" s="8">
        <f>SUM(V134:V141)</f>
        <v>13361.75</v>
      </c>
      <c r="W142" s="126">
        <f>100/$V$9*V142</f>
        <v>0.4361444477639162</v>
      </c>
      <c r="X142" s="8">
        <f>SUM(X134:X141)</f>
        <v>11340</v>
      </c>
      <c r="Y142" s="95">
        <f>SUM(Y134:Y141)</f>
        <v>5670</v>
      </c>
      <c r="Z142" s="118">
        <f>SUM(Z134:Z141)</f>
        <v>8156.15</v>
      </c>
      <c r="AA142" s="125">
        <f>100/Z$9*Z142</f>
        <v>0.56723369844772631</v>
      </c>
      <c r="AB142" s="118">
        <f>SUM(AB134:AB141)</f>
        <v>11696.099999999999</v>
      </c>
      <c r="AC142" s="126">
        <f>100/AB$9*AB142</f>
        <v>0.65049666074376422</v>
      </c>
      <c r="AE142" s="118">
        <f>SUM(AE134:AE141)</f>
        <v>7199.5</v>
      </c>
      <c r="AF142" s="126">
        <f>100/AE$9*AE142</f>
        <v>0.32724999999999999</v>
      </c>
      <c r="AG142" s="142"/>
    </row>
    <row r="143" spans="2:35" x14ac:dyDescent="0.25">
      <c r="P143" s="4">
        <v>0</v>
      </c>
      <c r="R143" s="4"/>
      <c r="T143" s="4"/>
      <c r="U143" s="4"/>
      <c r="V143" s="4"/>
      <c r="Z143" s="116"/>
      <c r="AB143" s="116"/>
      <c r="AE143" s="116"/>
      <c r="AG143" s="142"/>
    </row>
    <row r="144" spans="2:35" x14ac:dyDescent="0.25">
      <c r="B144" s="9" t="s">
        <v>11</v>
      </c>
      <c r="C144" s="9"/>
      <c r="D144" s="10"/>
      <c r="E144" s="11"/>
      <c r="F144" s="8">
        <f t="shared" ref="F144:P144" si="42">F142</f>
        <v>38174.49</v>
      </c>
      <c r="G144" s="8">
        <f>G142</f>
        <v>19154.489999999998</v>
      </c>
      <c r="H144" s="126">
        <f>100/G$9*G144</f>
        <v>1.0995712723188342</v>
      </c>
      <c r="I144" s="21">
        <f t="shared" si="42"/>
        <v>19050</v>
      </c>
      <c r="J144" s="17">
        <f t="shared" si="42"/>
        <v>26050</v>
      </c>
      <c r="K144" s="126">
        <f>100/J$9*J144</f>
        <v>1.3866495120289877</v>
      </c>
      <c r="L144" s="21">
        <f t="shared" si="42"/>
        <v>26050</v>
      </c>
      <c r="M144" s="17">
        <f t="shared" si="42"/>
        <v>17700</v>
      </c>
      <c r="N144" s="17">
        <f t="shared" si="42"/>
        <v>30527</v>
      </c>
      <c r="O144" s="126">
        <f>100/N$9*N144</f>
        <v>1.4203753478766861</v>
      </c>
      <c r="P144" s="8">
        <f t="shared" si="42"/>
        <v>23600.000000000004</v>
      </c>
      <c r="Q144" s="17">
        <f>Q142</f>
        <v>7420</v>
      </c>
      <c r="R144" s="8">
        <f>R142</f>
        <v>9934.11</v>
      </c>
      <c r="S144" s="126">
        <f>100/R$9*R144</f>
        <v>0.41318361739025089</v>
      </c>
      <c r="T144" s="8">
        <f>T142</f>
        <v>9934.11</v>
      </c>
      <c r="U144" s="8">
        <f>U142</f>
        <v>10140</v>
      </c>
      <c r="V144" s="8">
        <f>V142</f>
        <v>13361.75</v>
      </c>
      <c r="W144" s="126">
        <f>100/$V$9*V144</f>
        <v>0.4361444477639162</v>
      </c>
      <c r="X144" s="8">
        <f>X142</f>
        <v>11340</v>
      </c>
      <c r="Y144" s="95">
        <f>Y142</f>
        <v>5670</v>
      </c>
      <c r="Z144" s="118">
        <f>Z142</f>
        <v>8156.15</v>
      </c>
      <c r="AA144" s="125">
        <f>100/Z$9*Z144</f>
        <v>0.56723369844772631</v>
      </c>
      <c r="AB144" s="118">
        <f>AB142</f>
        <v>11696.099999999999</v>
      </c>
      <c r="AC144" s="126">
        <f>100/AB$9*AB144</f>
        <v>0.65049666074376422</v>
      </c>
      <c r="AE144" s="118">
        <f>AE142</f>
        <v>7199.5</v>
      </c>
      <c r="AF144" s="126">
        <f>100/AE$9*AE144</f>
        <v>0.32724999999999999</v>
      </c>
      <c r="AG144" s="142"/>
      <c r="AI144" s="29"/>
    </row>
    <row r="145" spans="2:35" x14ac:dyDescent="0.25">
      <c r="B145" s="2"/>
      <c r="F145" s="12"/>
      <c r="G145" s="12"/>
      <c r="I145" s="22"/>
      <c r="J145" s="36"/>
      <c r="L145" s="22"/>
      <c r="M145" s="36"/>
      <c r="N145" s="36"/>
      <c r="P145" s="12"/>
      <c r="Q145" s="36"/>
      <c r="R145" s="12"/>
      <c r="T145" s="12"/>
      <c r="U145" s="12"/>
      <c r="V145" s="12"/>
      <c r="X145" s="12"/>
      <c r="Y145" s="96"/>
      <c r="Z145" s="12"/>
      <c r="AB145" s="12"/>
      <c r="AE145" s="12"/>
      <c r="AG145" s="142"/>
      <c r="AI145" s="29"/>
    </row>
    <row r="146" spans="2:35" s="106" customFormat="1" x14ac:dyDescent="0.25">
      <c r="B146" s="30" t="s">
        <v>122</v>
      </c>
      <c r="C146" s="30"/>
      <c r="D146" s="50"/>
      <c r="F146" s="107"/>
      <c r="G146" s="108">
        <f>G129-G144</f>
        <v>-50058.059999999947</v>
      </c>
      <c r="H146" s="126">
        <f>100/G$9*G146</f>
        <v>-2.8736032504134794</v>
      </c>
      <c r="I146" s="107"/>
      <c r="J146" s="108">
        <f>J129-J144</f>
        <v>119987.9600000002</v>
      </c>
      <c r="K146" s="126">
        <f>100/J$9*J146</f>
        <v>6.3869960147160825</v>
      </c>
      <c r="L146" s="107"/>
      <c r="M146" s="107">
        <f>M129-M144</f>
        <v>113330.56999999995</v>
      </c>
      <c r="N146" s="108">
        <f>N129-N144</f>
        <v>25505.269999999553</v>
      </c>
      <c r="O146" s="126">
        <f>100/N$9*N146</f>
        <v>1.1867218118039169</v>
      </c>
      <c r="P146" s="107" t="e">
        <f>P129-P144</f>
        <v>#REF!</v>
      </c>
      <c r="Q146" s="107">
        <f>Q129-Q144</f>
        <v>71015.170000000158</v>
      </c>
      <c r="R146" s="108">
        <f>R129-R144</f>
        <v>29470.919999999562</v>
      </c>
      <c r="S146" s="126">
        <f>100/R$9*R146</f>
        <v>1.2257667101953282</v>
      </c>
      <c r="T146" s="108">
        <f>T129-T144</f>
        <v>107768.54672144759</v>
      </c>
      <c r="U146" s="108">
        <f>U129-U144</f>
        <v>156894.99999999953</v>
      </c>
      <c r="V146" s="108">
        <f>V129-V144</f>
        <v>74392.629999999772</v>
      </c>
      <c r="W146" s="126">
        <f>100/$V$9*V146</f>
        <v>2.4282696899025389</v>
      </c>
      <c r="X146" s="108">
        <f>X129-X144</f>
        <v>66402</v>
      </c>
      <c r="Y146" s="109">
        <f>Y129-Y144</f>
        <v>34626</v>
      </c>
      <c r="Z146" s="108">
        <f>Z129-Z144</f>
        <v>62080.650000000162</v>
      </c>
      <c r="AA146" s="125">
        <f>100/Z$9*Z146</f>
        <v>4.3175072431893637</v>
      </c>
      <c r="AB146" s="108">
        <f>AB129-AB144</f>
        <v>-42200.12000000025</v>
      </c>
      <c r="AC146" s="126">
        <f>100/AB$9*AB146</f>
        <v>-2.3470248324643519</v>
      </c>
      <c r="AD146" s="126"/>
      <c r="AE146" s="108">
        <f>AE129-AE144</f>
        <v>40883.089999999851</v>
      </c>
      <c r="AF146" s="126">
        <f>100/AE$9*AE146</f>
        <v>1.8583222727272659</v>
      </c>
      <c r="AG146" s="142"/>
      <c r="AH146" s="151"/>
      <c r="AI146" s="110"/>
    </row>
    <row r="147" spans="2:35" x14ac:dyDescent="0.25">
      <c r="I147" s="22"/>
      <c r="J147" s="12"/>
      <c r="L147" s="22"/>
      <c r="M147" s="22"/>
      <c r="N147" s="12"/>
      <c r="P147" s="12"/>
      <c r="Q147" s="22"/>
      <c r="R147" s="24"/>
      <c r="T147" s="24"/>
      <c r="U147" s="24"/>
      <c r="V147" s="24"/>
      <c r="X147" s="12"/>
      <c r="Y147" s="96"/>
      <c r="Z147" s="120"/>
      <c r="AB147" s="120"/>
      <c r="AE147" s="120"/>
      <c r="AG147" s="142"/>
    </row>
    <row r="148" spans="2:35" x14ac:dyDescent="0.25">
      <c r="B148" s="7" t="s">
        <v>115</v>
      </c>
      <c r="I148" s="22"/>
      <c r="J148" s="12"/>
      <c r="L148" s="22"/>
      <c r="M148" s="22"/>
      <c r="N148" s="12"/>
      <c r="P148" s="12"/>
      <c r="Q148" s="22"/>
      <c r="R148" s="24"/>
      <c r="T148" s="24"/>
      <c r="U148" s="24"/>
      <c r="V148" s="24"/>
      <c r="X148" s="12"/>
      <c r="Y148" s="96"/>
      <c r="Z148" s="120"/>
      <c r="AB148" s="120"/>
      <c r="AE148" s="120"/>
      <c r="AG148" s="142"/>
    </row>
    <row r="149" spans="2:35" x14ac:dyDescent="0.25">
      <c r="B149" s="7"/>
      <c r="I149" s="22"/>
      <c r="J149" s="12"/>
      <c r="L149" s="22"/>
      <c r="M149" s="22"/>
      <c r="N149" s="12"/>
      <c r="P149" s="12"/>
      <c r="Q149" s="22"/>
      <c r="R149" s="24"/>
      <c r="T149" s="24"/>
      <c r="U149" s="24"/>
      <c r="V149" s="24"/>
      <c r="X149" s="12"/>
      <c r="Y149" s="96"/>
      <c r="Z149" s="120"/>
      <c r="AB149" s="120"/>
      <c r="AE149" s="120"/>
      <c r="AG149" s="142"/>
    </row>
    <row r="150" spans="2:35" x14ac:dyDescent="0.25">
      <c r="C150" s="2" t="s">
        <v>114</v>
      </c>
      <c r="AG150" s="142"/>
    </row>
    <row r="151" spans="2:35" x14ac:dyDescent="0.25">
      <c r="D151" s="3" t="s">
        <v>61</v>
      </c>
      <c r="F151" s="4">
        <f>5879.4</f>
        <v>5879.4</v>
      </c>
      <c r="G151" s="4">
        <f>5879.4</f>
        <v>5879.4</v>
      </c>
      <c r="I151" s="19">
        <v>1500</v>
      </c>
      <c r="J151" s="4">
        <v>-123</v>
      </c>
      <c r="L151" s="19">
        <v>-500</v>
      </c>
      <c r="Q151" s="19">
        <v>0</v>
      </c>
      <c r="R151" s="4">
        <v>0</v>
      </c>
      <c r="T151" s="4">
        <v>0</v>
      </c>
      <c r="U151" s="4">
        <v>0</v>
      </c>
      <c r="V151" s="4"/>
      <c r="Z151" s="116"/>
      <c r="AB151" s="116"/>
      <c r="AE151" s="116"/>
      <c r="AG151" s="142"/>
    </row>
    <row r="152" spans="2:35" x14ac:dyDescent="0.25">
      <c r="D152" s="3" t="s">
        <v>62</v>
      </c>
      <c r="F152" s="4">
        <v>6517.95</v>
      </c>
      <c r="G152" s="4">
        <v>6517.95</v>
      </c>
      <c r="I152" s="19">
        <v>6500</v>
      </c>
      <c r="J152" s="4">
        <v>5111.25</v>
      </c>
      <c r="L152" s="19">
        <v>5000</v>
      </c>
      <c r="M152" s="19">
        <v>2289.9699999999998</v>
      </c>
      <c r="N152" s="4">
        <v>2649.97</v>
      </c>
      <c r="P152" s="4">
        <v>3053.2933333333331</v>
      </c>
      <c r="Q152" s="19">
        <v>2780</v>
      </c>
      <c r="R152" s="4">
        <v>4580</v>
      </c>
      <c r="T152" s="4">
        <v>4580</v>
      </c>
      <c r="U152" s="4">
        <v>3610</v>
      </c>
      <c r="V152" s="4">
        <v>4726.25</v>
      </c>
      <c r="X152" s="4">
        <v>5000</v>
      </c>
      <c r="Y152" s="92">
        <f t="shared" ref="Y152:Y157" si="43">X152/2</f>
        <v>2500</v>
      </c>
      <c r="Z152" s="116">
        <v>6908.85</v>
      </c>
      <c r="AB152" s="116">
        <v>10215.1</v>
      </c>
      <c r="AE152" s="116">
        <f>280000*0.046/12*3+(280000-7500)*0.046/12*3+(280000-2*7500)*0.046/12*3+(280000-3*7500)*0.046/12*3</f>
        <v>12362.5</v>
      </c>
      <c r="AG152" s="142"/>
    </row>
    <row r="153" spans="2:35" x14ac:dyDescent="0.25">
      <c r="D153" s="3" t="s">
        <v>63</v>
      </c>
      <c r="F153" s="4">
        <v>376</v>
      </c>
      <c r="G153" s="4">
        <v>376</v>
      </c>
      <c r="I153" s="19">
        <v>400</v>
      </c>
      <c r="J153" s="4">
        <v>0</v>
      </c>
      <c r="L153" s="19">
        <v>400</v>
      </c>
      <c r="M153" s="19">
        <v>0</v>
      </c>
      <c r="P153" s="4">
        <v>0</v>
      </c>
      <c r="Q153" s="19">
        <v>56.41</v>
      </c>
      <c r="R153" s="4">
        <v>56.41</v>
      </c>
      <c r="T153" s="4">
        <v>56.41</v>
      </c>
      <c r="U153" s="4">
        <v>0</v>
      </c>
      <c r="V153" s="4">
        <v>-0.18</v>
      </c>
      <c r="Y153" s="92">
        <f t="shared" si="43"/>
        <v>0</v>
      </c>
      <c r="Z153" s="116">
        <v>0</v>
      </c>
      <c r="AB153" s="116">
        <v>0</v>
      </c>
      <c r="AE153" s="116">
        <v>0</v>
      </c>
    </row>
    <row r="154" spans="2:35" x14ac:dyDescent="0.25">
      <c r="D154" s="3" t="s">
        <v>112</v>
      </c>
      <c r="F154" s="4">
        <v>1161.17</v>
      </c>
      <c r="G154" s="4">
        <v>1161.17</v>
      </c>
      <c r="I154" s="19">
        <v>1200</v>
      </c>
      <c r="J154" s="4">
        <v>781.75</v>
      </c>
      <c r="L154" s="19">
        <v>1000</v>
      </c>
      <c r="M154" s="19">
        <v>229.14</v>
      </c>
      <c r="N154" s="4">
        <v>223.56</v>
      </c>
      <c r="P154" s="4">
        <v>305.52</v>
      </c>
      <c r="Q154" s="19">
        <v>261.66000000000003</v>
      </c>
      <c r="R154" s="4">
        <v>189.57</v>
      </c>
      <c r="T154" s="4">
        <v>194.57</v>
      </c>
      <c r="U154" s="4">
        <v>801.17</v>
      </c>
      <c r="V154" s="4">
        <v>1084.75</v>
      </c>
      <c r="X154" s="4">
        <v>1000</v>
      </c>
      <c r="Y154" s="92">
        <f t="shared" si="43"/>
        <v>500</v>
      </c>
      <c r="Z154" s="116">
        <v>864.29</v>
      </c>
      <c r="AB154" s="116">
        <v>1747.47</v>
      </c>
      <c r="AE154" s="116">
        <v>1300</v>
      </c>
      <c r="AG154" s="142"/>
    </row>
    <row r="155" spans="2:35" x14ac:dyDescent="0.25">
      <c r="D155" s="3" t="s">
        <v>94</v>
      </c>
      <c r="Q155" s="19">
        <v>500</v>
      </c>
      <c r="R155" s="4">
        <v>500</v>
      </c>
      <c r="T155" s="4">
        <v>0</v>
      </c>
      <c r="U155" s="4">
        <v>0</v>
      </c>
      <c r="V155" s="4"/>
      <c r="Y155" s="92">
        <f t="shared" si="43"/>
        <v>0</v>
      </c>
      <c r="Z155" s="116">
        <v>0</v>
      </c>
      <c r="AB155" s="116"/>
      <c r="AE155" s="116"/>
      <c r="AG155" s="142"/>
    </row>
    <row r="156" spans="2:35" x14ac:dyDescent="0.25">
      <c r="D156" s="3" t="s">
        <v>64</v>
      </c>
      <c r="F156" s="4">
        <v>890.8</v>
      </c>
      <c r="G156" s="4">
        <v>890.8</v>
      </c>
      <c r="I156" s="19">
        <v>700</v>
      </c>
      <c r="J156" s="4">
        <v>103.9</v>
      </c>
      <c r="L156" s="19">
        <v>500</v>
      </c>
      <c r="M156" s="19">
        <v>120.8</v>
      </c>
      <c r="N156" s="4">
        <v>120.8</v>
      </c>
      <c r="P156" s="4">
        <v>161.06666666666666</v>
      </c>
      <c r="Q156" s="19">
        <v>42.15</v>
      </c>
      <c r="R156" s="4">
        <v>42.15</v>
      </c>
      <c r="T156" s="4">
        <v>42.15</v>
      </c>
      <c r="U156" s="4">
        <v>0</v>
      </c>
      <c r="V156" s="4"/>
      <c r="Y156" s="92">
        <f t="shared" si="43"/>
        <v>0</v>
      </c>
      <c r="Z156" s="116">
        <v>301.35000000000002</v>
      </c>
      <c r="AB156" s="116">
        <v>682.45</v>
      </c>
      <c r="AE156" s="116">
        <v>500</v>
      </c>
      <c r="AG156" s="142"/>
    </row>
    <row r="157" spans="2:35" x14ac:dyDescent="0.25">
      <c r="D157" s="3" t="s">
        <v>95</v>
      </c>
      <c r="Q157" s="19">
        <v>22.27</v>
      </c>
      <c r="R157" s="4">
        <v>167.36</v>
      </c>
      <c r="T157" s="4">
        <v>167.36</v>
      </c>
      <c r="U157" s="4">
        <v>150</v>
      </c>
      <c r="V157" s="4">
        <v>249.05</v>
      </c>
      <c r="X157" s="4">
        <v>150</v>
      </c>
      <c r="Y157" s="92">
        <f t="shared" si="43"/>
        <v>75</v>
      </c>
      <c r="Z157" s="116">
        <v>0</v>
      </c>
      <c r="AB157" s="116">
        <v>0</v>
      </c>
      <c r="AE157" s="116">
        <v>0</v>
      </c>
      <c r="AG157" s="142"/>
    </row>
    <row r="158" spans="2:35" x14ac:dyDescent="0.25">
      <c r="F158" s="8">
        <f t="shared" ref="F158:N158" si="44">SUM(F151:F157)</f>
        <v>14825.319999999998</v>
      </c>
      <c r="G158" s="8">
        <f t="shared" si="44"/>
        <v>14825.319999999998</v>
      </c>
      <c r="H158" s="126">
        <f>100/G$9*G158</f>
        <v>0.85105351147088004</v>
      </c>
      <c r="I158" s="21">
        <f t="shared" si="44"/>
        <v>10300</v>
      </c>
      <c r="J158" s="17">
        <f t="shared" si="44"/>
        <v>5873.9</v>
      </c>
      <c r="K158" s="126">
        <f>100/J$9*J158</f>
        <v>0.31266950359720036</v>
      </c>
      <c r="L158" s="21">
        <f t="shared" si="44"/>
        <v>6400</v>
      </c>
      <c r="M158" s="17">
        <f t="shared" si="44"/>
        <v>2639.91</v>
      </c>
      <c r="N158" s="17">
        <f t="shared" si="44"/>
        <v>2994.33</v>
      </c>
      <c r="O158" s="126">
        <f>100/N$9*N158</f>
        <v>0.13932166657082573</v>
      </c>
      <c r="P158" s="8">
        <f>SUM(P151:P157)</f>
        <v>3519.8799999999997</v>
      </c>
      <c r="Q158" s="17">
        <f>SUM(Q151:Q157)</f>
        <v>3662.49</v>
      </c>
      <c r="R158" s="8">
        <f>SUM(R151:R157)</f>
        <v>5535.4899999999989</v>
      </c>
      <c r="S158" s="126">
        <f>100/R$9*R158</f>
        <v>0.23023439263583345</v>
      </c>
      <c r="T158" s="8">
        <f>SUM(T151:T157)</f>
        <v>5040.4899999999989</v>
      </c>
      <c r="U158" s="8">
        <f>SUM(U151:U157)</f>
        <v>4561.17</v>
      </c>
      <c r="V158" s="8">
        <f>SUM(V151:V157)</f>
        <v>6059.87</v>
      </c>
      <c r="W158" s="126">
        <f>100/$V$9*V158</f>
        <v>0.19780183394174589</v>
      </c>
      <c r="X158" s="8">
        <f>SUM(X151:X157)</f>
        <v>6150</v>
      </c>
      <c r="Y158" s="95">
        <f>SUM(Y151:Y157)</f>
        <v>3075</v>
      </c>
      <c r="Z158" s="118">
        <f>SUM(Z151:Z157)</f>
        <v>8074.4900000000007</v>
      </c>
      <c r="AA158" s="125">
        <f>100/Z$9*Z158</f>
        <v>0.56155451110869492</v>
      </c>
      <c r="AB158" s="118">
        <f>SUM(AB151:AB157)</f>
        <v>12645.02</v>
      </c>
      <c r="AC158" s="126">
        <f>100/AB$9*AB158</f>
        <v>0.70327231171399995</v>
      </c>
      <c r="AE158" s="118">
        <f>SUM(AE151:AE157)</f>
        <v>14162.5</v>
      </c>
      <c r="AF158" s="126">
        <f>100/AE$9*AE158</f>
        <v>0.64374999999999993</v>
      </c>
      <c r="AG158" s="142"/>
    </row>
    <row r="159" spans="2:35" x14ac:dyDescent="0.25">
      <c r="R159" s="4"/>
      <c r="T159" s="4"/>
      <c r="U159" s="4"/>
      <c r="V159" s="4"/>
      <c r="Z159" s="116"/>
      <c r="AB159" s="116"/>
      <c r="AE159" s="116"/>
      <c r="AG159" s="142"/>
    </row>
    <row r="160" spans="2:35" x14ac:dyDescent="0.25">
      <c r="B160" s="9" t="s">
        <v>11</v>
      </c>
      <c r="C160" s="9"/>
      <c r="D160" s="10"/>
      <c r="E160" s="11"/>
      <c r="F160" s="8">
        <f t="shared" ref="F160:P160" si="45">F158</f>
        <v>14825.319999999998</v>
      </c>
      <c r="G160" s="8">
        <f t="shared" si="45"/>
        <v>14825.319999999998</v>
      </c>
      <c r="H160" s="126">
        <f>100/G$9*G160</f>
        <v>0.85105351147088004</v>
      </c>
      <c r="I160" s="21">
        <f t="shared" si="45"/>
        <v>10300</v>
      </c>
      <c r="J160" s="17">
        <f t="shared" si="45"/>
        <v>5873.9</v>
      </c>
      <c r="K160" s="126">
        <f>100/J$9*J160</f>
        <v>0.31266950359720036</v>
      </c>
      <c r="L160" s="21">
        <f t="shared" si="45"/>
        <v>6400</v>
      </c>
      <c r="M160" s="17">
        <f>M158</f>
        <v>2639.91</v>
      </c>
      <c r="N160" s="17">
        <f>N158</f>
        <v>2994.33</v>
      </c>
      <c r="O160" s="126">
        <f>100/N$9*N160</f>
        <v>0.13932166657082573</v>
      </c>
      <c r="P160" s="8">
        <f t="shared" si="45"/>
        <v>3519.8799999999997</v>
      </c>
      <c r="Q160" s="17">
        <f>Q158</f>
        <v>3662.49</v>
      </c>
      <c r="R160" s="8">
        <f>R158</f>
        <v>5535.4899999999989</v>
      </c>
      <c r="S160" s="126">
        <f>100/R$9*R160</f>
        <v>0.23023439263583345</v>
      </c>
      <c r="T160" s="8">
        <f>T158</f>
        <v>5040.4899999999989</v>
      </c>
      <c r="U160" s="8">
        <f>U158</f>
        <v>4561.17</v>
      </c>
      <c r="V160" s="8">
        <f>V158</f>
        <v>6059.87</v>
      </c>
      <c r="W160" s="126">
        <f>100/$V$9*V160</f>
        <v>0.19780183394174589</v>
      </c>
      <c r="X160" s="8">
        <f>X158</f>
        <v>6150</v>
      </c>
      <c r="Y160" s="95">
        <f>Y158</f>
        <v>3075</v>
      </c>
      <c r="Z160" s="118">
        <f>Z158</f>
        <v>8074.4900000000007</v>
      </c>
      <c r="AA160" s="125">
        <f>100/Z$9*Z160</f>
        <v>0.56155451110869492</v>
      </c>
      <c r="AB160" s="118">
        <f>AB158</f>
        <v>12645.02</v>
      </c>
      <c r="AC160" s="126">
        <f>100/AB$9*AB160</f>
        <v>0.70327231171399995</v>
      </c>
      <c r="AE160" s="118">
        <f>AE158</f>
        <v>14162.5</v>
      </c>
      <c r="AF160" s="126">
        <f>100/AE$9*AE160</f>
        <v>0.64374999999999993</v>
      </c>
      <c r="AG160" s="142"/>
      <c r="AI160" s="29"/>
    </row>
    <row r="161" spans="2:35" x14ac:dyDescent="0.25">
      <c r="B161" s="45"/>
      <c r="C161" s="45"/>
      <c r="D161" s="46"/>
      <c r="E161" s="47"/>
      <c r="F161" s="42"/>
      <c r="G161" s="42"/>
      <c r="I161" s="48"/>
      <c r="J161" s="52"/>
      <c r="L161" s="48"/>
      <c r="M161" s="52"/>
      <c r="N161" s="52"/>
      <c r="P161" s="42"/>
      <c r="Q161" s="52"/>
      <c r="R161" s="42"/>
      <c r="T161" s="42"/>
      <c r="U161" s="42"/>
      <c r="V161" s="42"/>
      <c r="X161" s="42"/>
      <c r="Y161" s="90"/>
      <c r="Z161" s="42"/>
      <c r="AB161" s="120"/>
      <c r="AE161" s="120"/>
      <c r="AG161" s="142"/>
      <c r="AI161" s="29"/>
    </row>
    <row r="162" spans="2:35" s="50" customFormat="1" x14ac:dyDescent="0.25">
      <c r="B162" s="30" t="s">
        <v>123</v>
      </c>
      <c r="C162" s="54"/>
      <c r="D162" s="55"/>
      <c r="E162" s="55"/>
      <c r="F162" s="75">
        <f>F146-F160</f>
        <v>-14825.319999999998</v>
      </c>
      <c r="G162" s="75">
        <f>G146-G160</f>
        <v>-64883.379999999946</v>
      </c>
      <c r="H162" s="126">
        <f>100/G$9*G162</f>
        <v>-3.7246567618843596</v>
      </c>
      <c r="I162" s="111"/>
      <c r="J162" s="75">
        <f>J146-J160</f>
        <v>114114.0600000002</v>
      </c>
      <c r="K162" s="126">
        <f>100/J$9*J162</f>
        <v>6.0743265111188824</v>
      </c>
      <c r="L162" s="111"/>
      <c r="M162" s="114"/>
      <c r="N162" s="75">
        <f>N146-N160</f>
        <v>22510.939999999551</v>
      </c>
      <c r="O162" s="126">
        <f>100/N$9*N162</f>
        <v>1.047400145233091</v>
      </c>
      <c r="P162" s="75"/>
      <c r="Q162" s="114"/>
      <c r="R162" s="75">
        <f>R146-R160</f>
        <v>23935.429999999564</v>
      </c>
      <c r="S162" s="126">
        <f>100/R$9*R162</f>
        <v>0.99553231755949478</v>
      </c>
      <c r="T162" s="112">
        <f>T146-T160</f>
        <v>102728.05672144759</v>
      </c>
      <c r="U162" s="112">
        <f>U146-U160</f>
        <v>152333.82999999952</v>
      </c>
      <c r="V162" s="75">
        <f>V146-V160</f>
        <v>68332.759999999776</v>
      </c>
      <c r="W162" s="126">
        <f>100/$V$9*V162</f>
        <v>2.2304678559607929</v>
      </c>
      <c r="X162" s="75">
        <f>X146-X160</f>
        <v>60252</v>
      </c>
      <c r="Y162" s="91">
        <f>Y146-Y160</f>
        <v>31551</v>
      </c>
      <c r="Z162" s="112">
        <f>Z146-Z160</f>
        <v>54006.160000000164</v>
      </c>
      <c r="AA162" s="125">
        <f>100/Z$9*Z162</f>
        <v>3.7559527320806696</v>
      </c>
      <c r="AB162" s="75">
        <f>AB146-AB160</f>
        <v>-54845.140000000247</v>
      </c>
      <c r="AC162" s="126">
        <f>100/AB$9*AB162</f>
        <v>-3.0502971441783515</v>
      </c>
      <c r="AD162" s="126"/>
      <c r="AE162" s="75">
        <f>AE146-AE160</f>
        <v>26720.589999999851</v>
      </c>
      <c r="AF162" s="126">
        <f>100/AE$9*AE162</f>
        <v>1.2145722727272659</v>
      </c>
      <c r="AG162" s="142"/>
      <c r="AH162" s="151"/>
      <c r="AI162" s="104"/>
    </row>
    <row r="163" spans="2:35" x14ac:dyDescent="0.25">
      <c r="B163" s="2"/>
      <c r="I163" s="22"/>
      <c r="J163" s="12"/>
      <c r="L163" s="22"/>
      <c r="M163" s="22"/>
      <c r="N163" s="12"/>
      <c r="P163" s="12"/>
      <c r="Q163" s="22"/>
      <c r="R163" s="24"/>
      <c r="T163" s="24"/>
      <c r="U163" s="24"/>
      <c r="V163" s="24"/>
      <c r="X163" s="12"/>
      <c r="Y163" s="96"/>
      <c r="Z163" s="120"/>
      <c r="AB163" s="120"/>
      <c r="AE163" s="120"/>
      <c r="AG163" s="142"/>
    </row>
    <row r="164" spans="2:35" x14ac:dyDescent="0.25">
      <c r="B164" s="7" t="s">
        <v>69</v>
      </c>
      <c r="F164" s="12"/>
      <c r="G164" s="12"/>
      <c r="I164" s="22"/>
      <c r="J164" s="12"/>
      <c r="L164" s="22"/>
      <c r="M164" s="22"/>
      <c r="N164" s="12"/>
      <c r="P164" s="12"/>
      <c r="Q164" s="22"/>
      <c r="R164" s="24"/>
      <c r="T164" s="24"/>
      <c r="U164" s="24"/>
      <c r="V164" s="24"/>
      <c r="X164" s="12"/>
      <c r="Y164" s="96"/>
      <c r="Z164" s="120"/>
      <c r="AB164" s="120"/>
      <c r="AE164" s="120"/>
      <c r="AG164" s="142"/>
    </row>
    <row r="165" spans="2:35" x14ac:dyDescent="0.25">
      <c r="B165" s="2"/>
      <c r="F165" s="12"/>
      <c r="G165" s="12"/>
      <c r="I165" s="22"/>
      <c r="J165" s="12"/>
      <c r="L165" s="22"/>
      <c r="M165" s="22"/>
      <c r="N165" s="12"/>
      <c r="P165" s="12"/>
      <c r="Q165" s="22"/>
      <c r="R165" s="24"/>
      <c r="T165" s="24"/>
      <c r="U165" s="24"/>
      <c r="V165" s="24"/>
      <c r="X165" s="12"/>
      <c r="Y165" s="96"/>
      <c r="Z165" s="120"/>
      <c r="AG165" s="142"/>
    </row>
    <row r="166" spans="2:35" x14ac:dyDescent="0.25">
      <c r="B166" s="2"/>
      <c r="C166" s="2" t="s">
        <v>70</v>
      </c>
      <c r="F166" s="12"/>
      <c r="G166" s="12"/>
      <c r="I166" s="22"/>
      <c r="J166" s="12"/>
      <c r="L166" s="22"/>
      <c r="M166" s="22"/>
      <c r="N166" s="12"/>
      <c r="P166" s="12"/>
      <c r="Q166" s="22"/>
      <c r="R166" s="24"/>
      <c r="T166" s="24"/>
      <c r="U166" s="24"/>
      <c r="V166" s="24"/>
      <c r="X166" s="12"/>
      <c r="Y166" s="96"/>
      <c r="Z166" s="120"/>
      <c r="AB166" s="116"/>
      <c r="AE166" s="116"/>
      <c r="AG166" s="142"/>
    </row>
    <row r="167" spans="2:35" x14ac:dyDescent="0.25">
      <c r="B167" s="2"/>
      <c r="C167" s="1"/>
      <c r="D167" s="3" t="s">
        <v>71</v>
      </c>
      <c r="F167" s="4">
        <v>11523.29</v>
      </c>
      <c r="G167" s="4">
        <v>11523.29</v>
      </c>
      <c r="I167" s="19">
        <v>0</v>
      </c>
      <c r="J167" s="4">
        <v>0</v>
      </c>
      <c r="L167" s="19">
        <v>0</v>
      </c>
      <c r="P167" s="4">
        <v>0</v>
      </c>
      <c r="U167" s="4">
        <v>4052.55</v>
      </c>
      <c r="Z167" s="116"/>
      <c r="AB167" s="116"/>
      <c r="AE167" s="116"/>
      <c r="AG167" s="142"/>
    </row>
    <row r="168" spans="2:35" x14ac:dyDescent="0.25">
      <c r="B168" s="2"/>
      <c r="C168" s="1"/>
      <c r="D168" s="3" t="s">
        <v>72</v>
      </c>
      <c r="G168" s="4">
        <v>19916.7</v>
      </c>
      <c r="I168" s="19">
        <v>0</v>
      </c>
      <c r="J168" s="4">
        <v>0</v>
      </c>
      <c r="L168" s="19">
        <v>0</v>
      </c>
      <c r="N168" s="4">
        <v>19962.849999999999</v>
      </c>
      <c r="P168" s="4">
        <v>0</v>
      </c>
      <c r="R168" s="4">
        <v>0</v>
      </c>
      <c r="T168" s="4"/>
      <c r="U168" s="4"/>
      <c r="V168" s="4">
        <v>7691.8</v>
      </c>
      <c r="Y168" s="92">
        <v>0</v>
      </c>
      <c r="Z168" s="116"/>
      <c r="AG168" s="142"/>
    </row>
    <row r="169" spans="2:35" x14ac:dyDescent="0.25">
      <c r="B169" s="2"/>
      <c r="C169" s="1"/>
      <c r="D169" s="3" t="s">
        <v>73</v>
      </c>
      <c r="F169" s="4">
        <v>-16644.96</v>
      </c>
      <c r="G169" s="4">
        <v>-16644.96</v>
      </c>
      <c r="I169" s="19">
        <v>-20000</v>
      </c>
      <c r="J169" s="4">
        <v>0</v>
      </c>
      <c r="L169" s="19">
        <v>0</v>
      </c>
      <c r="M169" s="19">
        <v>-387.1</v>
      </c>
      <c r="N169" s="4">
        <v>-387.1</v>
      </c>
      <c r="P169" s="4">
        <v>0</v>
      </c>
      <c r="Q169" s="19">
        <v>-1370.65</v>
      </c>
      <c r="R169" s="4">
        <v>-1567.53</v>
      </c>
      <c r="T169" s="4"/>
      <c r="U169" s="4"/>
      <c r="V169" s="4">
        <v>0</v>
      </c>
      <c r="Y169" s="92">
        <v>0</v>
      </c>
      <c r="Z169" s="116"/>
      <c r="AG169" s="142"/>
    </row>
    <row r="170" spans="2:35" x14ac:dyDescent="0.25">
      <c r="B170" s="2"/>
      <c r="C170" s="1"/>
      <c r="D170" s="3" t="s">
        <v>74</v>
      </c>
      <c r="E170" s="14"/>
      <c r="F170" s="4">
        <v>-1.1399999999999999</v>
      </c>
      <c r="G170" s="4">
        <v>-1.1399999999999999</v>
      </c>
      <c r="I170" s="19">
        <v>0</v>
      </c>
      <c r="J170" s="4">
        <v>0</v>
      </c>
      <c r="L170" s="19">
        <v>0</v>
      </c>
      <c r="P170" s="4">
        <v>0</v>
      </c>
      <c r="AG170" s="142"/>
    </row>
    <row r="171" spans="2:35" x14ac:dyDescent="0.25">
      <c r="B171" s="2"/>
      <c r="D171" s="3" t="s">
        <v>75</v>
      </c>
      <c r="E171" s="14"/>
      <c r="F171" s="4">
        <v>2255.25</v>
      </c>
      <c r="G171" s="4">
        <v>2255.25</v>
      </c>
      <c r="I171" s="19">
        <v>0</v>
      </c>
      <c r="J171" s="4">
        <v>13927.6</v>
      </c>
      <c r="L171" s="19">
        <v>0</v>
      </c>
      <c r="P171" s="4">
        <v>0</v>
      </c>
      <c r="AG171" s="142"/>
    </row>
    <row r="172" spans="2:35" x14ac:dyDescent="0.25">
      <c r="F172" s="8">
        <f>SUM(F167:F171)</f>
        <v>-2867.5599999999986</v>
      </c>
      <c r="G172" s="8">
        <f>SUM(G167:G171)</f>
        <v>17049.140000000003</v>
      </c>
      <c r="H172" s="126">
        <f>100/G$9*G172</f>
        <v>0.97871280111044112</v>
      </c>
      <c r="I172" s="21">
        <v>-20000</v>
      </c>
      <c r="J172" s="8">
        <f>SUM(J167:J171)</f>
        <v>13927.6</v>
      </c>
      <c r="K172" s="126">
        <f>100/J$9*J172</f>
        <v>0.74137043162130245</v>
      </c>
      <c r="L172" s="21">
        <f>SUM(L167:L171)</f>
        <v>0</v>
      </c>
      <c r="M172" s="8">
        <f t="shared" ref="M172" si="46">SUM(M167:M171)</f>
        <v>-387.1</v>
      </c>
      <c r="N172" s="8">
        <f>SUM(N167:N171)</f>
        <v>19575.75</v>
      </c>
      <c r="O172" s="126">
        <f>100/N$9*N172</f>
        <v>0.91083017381980003</v>
      </c>
      <c r="P172" s="8">
        <f t="shared" ref="P172:R172" si="47">SUM(P167:P171)</f>
        <v>0</v>
      </c>
      <c r="Q172" s="8">
        <f t="shared" si="47"/>
        <v>-1370.65</v>
      </c>
      <c r="R172" s="8">
        <f t="shared" si="47"/>
        <v>-1567.53</v>
      </c>
      <c r="S172" s="126">
        <f>100/R$9*R172</f>
        <v>-6.5197356961795266E-2</v>
      </c>
      <c r="T172" s="8">
        <f t="shared" ref="T172:V172" si="48">SUM(T167:T171)</f>
        <v>0</v>
      </c>
      <c r="U172" s="8">
        <f t="shared" si="48"/>
        <v>4052.55</v>
      </c>
      <c r="V172" s="8">
        <f t="shared" si="48"/>
        <v>7691.8</v>
      </c>
      <c r="W172" s="126">
        <f>100/$V$9*V172</f>
        <v>0.25107009660489765</v>
      </c>
      <c r="X172" s="8">
        <f t="shared" ref="X172" si="49">SUM(X167:X171)</f>
        <v>0</v>
      </c>
      <c r="Y172" s="95">
        <f t="shared" ref="Y172" si="50">SUM(Y167:Y171)</f>
        <v>0</v>
      </c>
      <c r="Z172" s="118">
        <f t="shared" ref="Z172:AB172" si="51">SUM(Z167:Z171)</f>
        <v>0</v>
      </c>
      <c r="AA172" s="125">
        <f>100/Z$9*Z172</f>
        <v>0</v>
      </c>
      <c r="AB172" s="118">
        <f t="shared" si="51"/>
        <v>0</v>
      </c>
      <c r="AC172" s="126">
        <f>100/AB$9*AB172</f>
        <v>0</v>
      </c>
      <c r="AE172" s="118">
        <f t="shared" ref="AE172" si="52">SUM(AE167:AE171)</f>
        <v>0</v>
      </c>
      <c r="AF172" s="126">
        <f>100/AE$9*AE172</f>
        <v>0</v>
      </c>
      <c r="AG172" s="142"/>
    </row>
    <row r="173" spans="2:35" x14ac:dyDescent="0.25">
      <c r="B173" s="2"/>
      <c r="C173" s="1"/>
      <c r="D173" s="1"/>
      <c r="F173" s="12"/>
      <c r="G173" s="12"/>
      <c r="I173" s="22"/>
      <c r="J173" s="12"/>
      <c r="L173" s="22"/>
      <c r="M173" s="22"/>
      <c r="N173" s="12"/>
      <c r="P173" s="12">
        <v>0</v>
      </c>
      <c r="Q173" s="22"/>
      <c r="R173" s="24"/>
      <c r="T173" s="24"/>
      <c r="U173" s="24"/>
      <c r="V173" s="24"/>
      <c r="X173" s="12"/>
      <c r="Y173" s="96"/>
      <c r="Z173" s="120"/>
      <c r="AB173" s="120"/>
      <c r="AE173" s="120"/>
      <c r="AG173" s="142"/>
    </row>
    <row r="174" spans="2:35" x14ac:dyDescent="0.25">
      <c r="B174" s="9" t="s">
        <v>11</v>
      </c>
      <c r="C174" s="9"/>
      <c r="D174" s="10"/>
      <c r="E174" s="11"/>
      <c r="F174" s="8">
        <f t="shared" ref="F174:R174" si="53">F172</f>
        <v>-2867.5599999999986</v>
      </c>
      <c r="G174" s="8">
        <f t="shared" si="53"/>
        <v>17049.140000000003</v>
      </c>
      <c r="H174" s="126">
        <f>100/G$9*G174</f>
        <v>0.97871280111044112</v>
      </c>
      <c r="I174" s="21">
        <f t="shared" si="53"/>
        <v>-20000</v>
      </c>
      <c r="J174" s="8">
        <f t="shared" si="53"/>
        <v>13927.6</v>
      </c>
      <c r="K174" s="126">
        <f>100/J$9*J174</f>
        <v>0.74137043162130245</v>
      </c>
      <c r="L174" s="21">
        <f t="shared" si="53"/>
        <v>0</v>
      </c>
      <c r="M174" s="8">
        <f t="shared" si="53"/>
        <v>-387.1</v>
      </c>
      <c r="N174" s="8">
        <f t="shared" si="53"/>
        <v>19575.75</v>
      </c>
      <c r="O174" s="126">
        <f>100/N$9*N174</f>
        <v>0.91083017381980003</v>
      </c>
      <c r="P174" s="8">
        <f t="shared" si="53"/>
        <v>0</v>
      </c>
      <c r="Q174" s="8">
        <f t="shared" si="53"/>
        <v>-1370.65</v>
      </c>
      <c r="R174" s="8">
        <f t="shared" si="53"/>
        <v>-1567.53</v>
      </c>
      <c r="S174" s="126">
        <f>100/R$9*R174</f>
        <v>-6.5197356961795266E-2</v>
      </c>
      <c r="T174" s="8">
        <f t="shared" ref="T174:V174" si="54">T172</f>
        <v>0</v>
      </c>
      <c r="U174" s="8">
        <f t="shared" si="54"/>
        <v>4052.55</v>
      </c>
      <c r="V174" s="8">
        <f t="shared" si="54"/>
        <v>7691.8</v>
      </c>
      <c r="W174" s="126">
        <f>100/$V$9*V174</f>
        <v>0.25107009660489765</v>
      </c>
      <c r="X174" s="8">
        <f t="shared" ref="X174" si="55">X172</f>
        <v>0</v>
      </c>
      <c r="Y174" s="95">
        <f t="shared" ref="Y174:Z174" si="56">Y172</f>
        <v>0</v>
      </c>
      <c r="Z174" s="118">
        <f t="shared" si="56"/>
        <v>0</v>
      </c>
      <c r="AA174" s="125">
        <f>100/Z$9*Z174</f>
        <v>0</v>
      </c>
      <c r="AB174" s="118">
        <f t="shared" ref="AB174" si="57">AB172</f>
        <v>0</v>
      </c>
      <c r="AC174" s="126">
        <f>100/AB$9*AB174</f>
        <v>0</v>
      </c>
      <c r="AE174" s="118">
        <f t="shared" ref="AE174" si="58">AE172</f>
        <v>0</v>
      </c>
      <c r="AF174" s="126">
        <f>100/AE$9*AE174</f>
        <v>0</v>
      </c>
      <c r="AG174" s="142"/>
    </row>
    <row r="175" spans="2:35" x14ac:dyDescent="0.25">
      <c r="B175" s="45"/>
      <c r="C175" s="45"/>
      <c r="D175" s="46"/>
      <c r="E175" s="47"/>
      <c r="F175" s="42"/>
      <c r="G175" s="42"/>
      <c r="I175" s="48"/>
      <c r="J175" s="42"/>
      <c r="L175" s="48"/>
      <c r="M175" s="42"/>
      <c r="N175" s="42"/>
      <c r="P175" s="42"/>
      <c r="Q175" s="42"/>
      <c r="R175" s="42"/>
      <c r="T175" s="42"/>
      <c r="U175" s="42"/>
      <c r="V175" s="42"/>
      <c r="X175" s="42"/>
      <c r="Y175" s="90"/>
      <c r="Z175" s="42"/>
      <c r="AB175" s="120"/>
      <c r="AE175" s="120"/>
      <c r="AG175" s="142"/>
    </row>
    <row r="176" spans="2:35" s="50" customFormat="1" x14ac:dyDescent="0.25">
      <c r="B176" s="30" t="s">
        <v>124</v>
      </c>
      <c r="C176" s="54"/>
      <c r="D176" s="55"/>
      <c r="E176" s="55"/>
      <c r="F176" s="75">
        <f>F162+F174</f>
        <v>-17692.879999999997</v>
      </c>
      <c r="G176" s="75">
        <f>G162+G174</f>
        <v>-47834.239999999947</v>
      </c>
      <c r="H176" s="126">
        <f>100/G$9*G176</f>
        <v>-2.7459439607739187</v>
      </c>
      <c r="I176" s="111"/>
      <c r="J176" s="75">
        <f>J162+J174</f>
        <v>128041.66000000021</v>
      </c>
      <c r="K176" s="126">
        <f>100/J$9*J176</f>
        <v>6.8156969427401854</v>
      </c>
      <c r="L176" s="111"/>
      <c r="M176" s="75"/>
      <c r="N176" s="75">
        <f>N162+N174</f>
        <v>42086.689999999551</v>
      </c>
      <c r="O176" s="126">
        <f>100/N$9*N176</f>
        <v>1.9582303190528911</v>
      </c>
      <c r="P176" s="75"/>
      <c r="Q176" s="75"/>
      <c r="R176" s="75">
        <f>R162+R174</f>
        <v>22367.899999999565</v>
      </c>
      <c r="S176" s="126">
        <f>100/R$9*R176</f>
        <v>0.93033496059769949</v>
      </c>
      <c r="T176" s="75">
        <f>T162+T174</f>
        <v>102728.05672144759</v>
      </c>
      <c r="U176" s="75">
        <f>U162+U174</f>
        <v>156386.37999999951</v>
      </c>
      <c r="V176" s="75">
        <f>V162+V174</f>
        <v>76024.559999999779</v>
      </c>
      <c r="W176" s="126">
        <f>100/$V$9*V176</f>
        <v>2.4815379525656907</v>
      </c>
      <c r="X176" s="75">
        <f>X162+X174</f>
        <v>60252</v>
      </c>
      <c r="Y176" s="91">
        <f>Y162+Y174</f>
        <v>31551</v>
      </c>
      <c r="Z176" s="75">
        <f>Z162+Z174</f>
        <v>54006.160000000164</v>
      </c>
      <c r="AA176" s="125">
        <f>100/Z$9*Z176</f>
        <v>3.7559527320806696</v>
      </c>
      <c r="AB176" s="75">
        <f>AB162+AB174</f>
        <v>-54845.140000000247</v>
      </c>
      <c r="AC176" s="126">
        <f>100/AB$9*AB176</f>
        <v>-3.0502971441783515</v>
      </c>
      <c r="AD176" s="126"/>
      <c r="AE176" s="75">
        <f>AE162+AE174</f>
        <v>26720.589999999851</v>
      </c>
      <c r="AF176" s="126">
        <f>100/AE$9*AE176</f>
        <v>1.2145722727272659</v>
      </c>
      <c r="AG176" s="142"/>
      <c r="AH176" s="151"/>
    </row>
    <row r="177" spans="2:37" x14ac:dyDescent="0.25">
      <c r="B177" s="2"/>
      <c r="F177" s="12"/>
      <c r="G177" s="12"/>
      <c r="I177" s="22"/>
      <c r="J177" s="12"/>
      <c r="L177" s="22"/>
      <c r="M177" s="12"/>
      <c r="N177" s="12"/>
      <c r="P177" s="12"/>
      <c r="Q177" s="12"/>
      <c r="R177" s="24"/>
      <c r="T177" s="24"/>
      <c r="U177" s="24"/>
      <c r="V177" s="24"/>
      <c r="X177" s="12"/>
      <c r="Y177" s="96"/>
      <c r="Z177" s="120"/>
      <c r="AG177" s="142"/>
    </row>
    <row r="178" spans="2:37" x14ac:dyDescent="0.25">
      <c r="B178" s="7" t="s">
        <v>66</v>
      </c>
      <c r="AG178" s="142"/>
    </row>
    <row r="179" spans="2:37" x14ac:dyDescent="0.25">
      <c r="AB179" s="44"/>
      <c r="AE179" s="44"/>
      <c r="AG179" s="142"/>
    </row>
    <row r="180" spans="2:37" x14ac:dyDescent="0.25">
      <c r="C180" s="2" t="s">
        <v>67</v>
      </c>
      <c r="X180" s="16"/>
      <c r="AB180" s="49"/>
      <c r="AE180" s="49"/>
      <c r="AG180" s="142"/>
    </row>
    <row r="181" spans="2:37" s="26" customFormat="1" ht="12.75" x14ac:dyDescent="0.2">
      <c r="B181" s="1"/>
      <c r="C181" s="2"/>
      <c r="D181" s="3" t="s">
        <v>68</v>
      </c>
      <c r="F181" s="27">
        <v>5357.8</v>
      </c>
      <c r="G181" s="116">
        <v>5357.8</v>
      </c>
      <c r="H181" s="126"/>
      <c r="I181" s="116">
        <v>200</v>
      </c>
      <c r="J181" s="116">
        <v>5016.8</v>
      </c>
      <c r="K181" s="126"/>
      <c r="L181" s="116">
        <v>200</v>
      </c>
      <c r="M181" s="116">
        <v>-181.2</v>
      </c>
      <c r="N181" s="113">
        <v>271.8</v>
      </c>
      <c r="O181" s="126"/>
      <c r="P181" s="116">
        <v>500</v>
      </c>
      <c r="Q181" s="116">
        <v>3649.35</v>
      </c>
      <c r="R181" s="116">
        <v>743.85</v>
      </c>
      <c r="S181" s="126"/>
      <c r="T181" s="16">
        <v>-5000</v>
      </c>
      <c r="U181" s="16">
        <v>-6070.3</v>
      </c>
      <c r="V181" s="4">
        <v>12166.3</v>
      </c>
      <c r="W181" s="126"/>
      <c r="X181" s="4">
        <v>10102</v>
      </c>
      <c r="Y181" s="92">
        <v>5051</v>
      </c>
      <c r="Z181" s="116">
        <v>-29.75</v>
      </c>
      <c r="AA181" s="125"/>
      <c r="AB181" s="116">
        <v>2347.4499999999998</v>
      </c>
      <c r="AC181" s="126"/>
      <c r="AD181" s="126"/>
      <c r="AE181" s="116">
        <v>2000</v>
      </c>
      <c r="AF181" s="126"/>
      <c r="AG181" s="142"/>
      <c r="AH181" s="151"/>
      <c r="AI181" s="14"/>
      <c r="AJ181" s="14"/>
      <c r="AK181" s="14"/>
    </row>
    <row r="182" spans="2:37" s="26" customFormat="1" ht="12.75" x14ac:dyDescent="0.2">
      <c r="B182" s="1"/>
      <c r="C182" s="2"/>
      <c r="D182" s="3"/>
      <c r="F182" s="28">
        <f t="shared" ref="F182:R182" si="59">F181</f>
        <v>5357.8</v>
      </c>
      <c r="G182" s="118">
        <f t="shared" si="59"/>
        <v>5357.8</v>
      </c>
      <c r="H182" s="126">
        <f>100/G$9*G182</f>
        <v>0.30756668346846355</v>
      </c>
      <c r="I182" s="118">
        <f t="shared" si="59"/>
        <v>200</v>
      </c>
      <c r="J182" s="118">
        <f t="shared" si="59"/>
        <v>5016.8</v>
      </c>
      <c r="K182" s="126">
        <f>100/J$9*J182</f>
        <v>0.26704580698453073</v>
      </c>
      <c r="L182" s="118">
        <f t="shared" si="59"/>
        <v>200</v>
      </c>
      <c r="M182" s="118">
        <f t="shared" si="59"/>
        <v>-181.2</v>
      </c>
      <c r="N182" s="118">
        <f t="shared" si="59"/>
        <v>271.8</v>
      </c>
      <c r="O182" s="126">
        <f>100/N$9*N182</f>
        <v>1.2646444771935772E-2</v>
      </c>
      <c r="P182" s="118">
        <f t="shared" si="59"/>
        <v>500</v>
      </c>
      <c r="Q182" s="118">
        <f t="shared" si="59"/>
        <v>3649.35</v>
      </c>
      <c r="R182" s="118">
        <f t="shared" si="59"/>
        <v>743.85</v>
      </c>
      <c r="S182" s="126">
        <f>100/R$9*R182</f>
        <v>3.0938517269864952E-2</v>
      </c>
      <c r="T182" s="33">
        <f t="shared" ref="T182:V182" si="60">T181</f>
        <v>-5000</v>
      </c>
      <c r="U182" s="33">
        <f t="shared" si="60"/>
        <v>-6070.3</v>
      </c>
      <c r="V182" s="8">
        <f t="shared" si="60"/>
        <v>12166.3</v>
      </c>
      <c r="W182" s="126">
        <f>100/$V$9*V182</f>
        <v>0.39712344526952936</v>
      </c>
      <c r="X182" s="8">
        <f>X181</f>
        <v>10102</v>
      </c>
      <c r="Y182" s="95">
        <f>Y181</f>
        <v>5051</v>
      </c>
      <c r="Z182" s="118">
        <f t="shared" ref="Z182" si="61">Z181</f>
        <v>-29.75</v>
      </c>
      <c r="AA182" s="125">
        <f>100/Z$9*Z182</f>
        <v>-2.0690157156035456E-3</v>
      </c>
      <c r="AB182" s="118">
        <f>AB181</f>
        <v>2347.4499999999998</v>
      </c>
      <c r="AC182" s="126">
        <f>100/AB$9*AB182</f>
        <v>0.13055705630620029</v>
      </c>
      <c r="AD182" s="126"/>
      <c r="AE182" s="118">
        <f>AE181</f>
        <v>2000</v>
      </c>
      <c r="AF182" s="126">
        <f>100/AE$9*AE182</f>
        <v>9.0909090909090898E-2</v>
      </c>
      <c r="AG182" s="142"/>
      <c r="AH182" s="151"/>
    </row>
    <row r="183" spans="2:37" x14ac:dyDescent="0.25">
      <c r="B183" s="2"/>
      <c r="F183" s="12"/>
      <c r="G183" s="12"/>
      <c r="I183" s="22"/>
      <c r="J183" s="12"/>
      <c r="L183" s="22"/>
      <c r="M183" s="12"/>
      <c r="N183" s="12"/>
      <c r="P183" s="12"/>
      <c r="Q183" s="12"/>
      <c r="R183" s="24"/>
      <c r="T183" s="24"/>
      <c r="U183" s="24"/>
      <c r="V183" s="12"/>
      <c r="X183" s="12"/>
      <c r="Y183" s="96"/>
      <c r="Z183" s="12"/>
      <c r="AG183" s="142"/>
    </row>
    <row r="184" spans="2:37" x14ac:dyDescent="0.25">
      <c r="B184" s="9" t="s">
        <v>11</v>
      </c>
      <c r="C184" s="9"/>
      <c r="D184" s="10"/>
      <c r="E184" s="11"/>
      <c r="F184" s="8">
        <f t="shared" ref="F184:R184" si="62">F182</f>
        <v>5357.8</v>
      </c>
      <c r="G184" s="8">
        <f t="shared" si="62"/>
        <v>5357.8</v>
      </c>
      <c r="H184" s="126">
        <f>100/G$9*G184</f>
        <v>0.30756668346846355</v>
      </c>
      <c r="I184" s="21">
        <f t="shared" si="62"/>
        <v>200</v>
      </c>
      <c r="J184" s="17">
        <f t="shared" si="62"/>
        <v>5016.8</v>
      </c>
      <c r="K184" s="126">
        <f>100/J$9*J184</f>
        <v>0.26704580698453073</v>
      </c>
      <c r="L184" s="21">
        <f t="shared" si="62"/>
        <v>200</v>
      </c>
      <c r="M184" s="17">
        <f>M182</f>
        <v>-181.2</v>
      </c>
      <c r="N184" s="17">
        <f t="shared" si="62"/>
        <v>271.8</v>
      </c>
      <c r="O184" s="126">
        <f>100/N$9*N184</f>
        <v>1.2646444771935772E-2</v>
      </c>
      <c r="P184" s="8">
        <f t="shared" si="62"/>
        <v>500</v>
      </c>
      <c r="Q184" s="17">
        <f t="shared" si="62"/>
        <v>3649.35</v>
      </c>
      <c r="R184" s="118">
        <f t="shared" si="62"/>
        <v>743.85</v>
      </c>
      <c r="S184" s="126">
        <f>100/R$9*R184</f>
        <v>3.0938517269864952E-2</v>
      </c>
      <c r="T184" s="33">
        <f t="shared" ref="T184" si="63">T182</f>
        <v>-5000</v>
      </c>
      <c r="U184" s="33">
        <f>U182</f>
        <v>-6070.3</v>
      </c>
      <c r="V184" s="8">
        <f t="shared" ref="V184" si="64">V182</f>
        <v>12166.3</v>
      </c>
      <c r="W184" s="126">
        <f>100/$V$9*V184</f>
        <v>0.39712344526952936</v>
      </c>
      <c r="X184" s="8">
        <f t="shared" ref="X184" si="65">X182</f>
        <v>10102</v>
      </c>
      <c r="Y184" s="95">
        <f t="shared" ref="Y184" si="66">Y182</f>
        <v>5051</v>
      </c>
      <c r="Z184" s="118">
        <f>Z182</f>
        <v>-29.75</v>
      </c>
      <c r="AA184" s="125">
        <f>100/Z$9*Z184</f>
        <v>-2.0690157156035456E-3</v>
      </c>
      <c r="AB184" s="118">
        <f t="shared" ref="AB184" si="67">AB182</f>
        <v>2347.4499999999998</v>
      </c>
      <c r="AC184" s="126">
        <f>100/AB$9*AB184</f>
        <v>0.13055705630620029</v>
      </c>
      <c r="AE184" s="118">
        <f t="shared" ref="AE184" si="68">AE182</f>
        <v>2000</v>
      </c>
      <c r="AF184" s="126">
        <f>100/AE$9*AE184</f>
        <v>9.0909090909090898E-2</v>
      </c>
      <c r="AG184" s="142"/>
    </row>
    <row r="185" spans="2:37" x14ac:dyDescent="0.25">
      <c r="D185" s="1"/>
      <c r="P185" s="4">
        <v>0</v>
      </c>
      <c r="AG185" s="142"/>
    </row>
    <row r="186" spans="2:37" s="50" customFormat="1" ht="15.75" thickBot="1" x14ac:dyDescent="0.3">
      <c r="B186" s="30" t="s">
        <v>76</v>
      </c>
      <c r="C186" s="30"/>
      <c r="F186" s="101">
        <f ca="1">F129-F144-F160-F184+F174</f>
        <v>-139881.73999999982</v>
      </c>
      <c r="G186" s="101">
        <f>G176-G184</f>
        <v>-53192.03999999995</v>
      </c>
      <c r="H186" s="126">
        <f>100/G$9*G186</f>
        <v>-3.0535106442423823</v>
      </c>
      <c r="I186" s="101">
        <f>I129-I144-I160-I184+I174</f>
        <v>15664.333333333372</v>
      </c>
      <c r="J186" s="101">
        <f>J176-J184</f>
        <v>123024.8600000002</v>
      </c>
      <c r="K186" s="126">
        <f>100/J$9*J186</f>
        <v>6.5486511357556543</v>
      </c>
      <c r="L186" s="102">
        <f>L129-L144-L160-L184+L174</f>
        <v>-13526</v>
      </c>
      <c r="M186" s="101">
        <f>M129-M144-M160+M174+M184</f>
        <v>110122.35999999994</v>
      </c>
      <c r="N186" s="101">
        <f>N176-N184</f>
        <v>41814.889999999548</v>
      </c>
      <c r="O186" s="126">
        <f>100/N$9*N186</f>
        <v>1.9455838742809552</v>
      </c>
      <c r="P186" s="101" t="e">
        <f>P129-P144-P160+P174+P184</f>
        <v>#REF!</v>
      </c>
      <c r="Q186" s="101">
        <f>Q129-Q144-Q160+Q174+Q184</f>
        <v>69631.380000000165</v>
      </c>
      <c r="R186" s="101">
        <f>R176-R184</f>
        <v>21624.049999999566</v>
      </c>
      <c r="S186" s="126">
        <f>100/R$9*R186</f>
        <v>0.89939644332783464</v>
      </c>
      <c r="T186" s="101">
        <f>T176-T184</f>
        <v>107728.05672144759</v>
      </c>
      <c r="U186" s="101">
        <f>U176-U184</f>
        <v>162456.6799999995</v>
      </c>
      <c r="V186" s="101">
        <f>V176-V184</f>
        <v>63858.259999999776</v>
      </c>
      <c r="W186" s="126">
        <f>100/$V$9*V186</f>
        <v>2.0844145072961613</v>
      </c>
      <c r="X186" s="101">
        <f>X176-X184</f>
        <v>50150</v>
      </c>
      <c r="Y186" s="103">
        <f>Y176-Y184</f>
        <v>26500</v>
      </c>
      <c r="Z186" s="101">
        <f>Z176-Z184</f>
        <v>54035.910000000164</v>
      </c>
      <c r="AA186" s="125">
        <f>100/Z$9*Z186</f>
        <v>3.7580217477962727</v>
      </c>
      <c r="AB186" s="101">
        <f>AB176-AB184</f>
        <v>-57192.590000000244</v>
      </c>
      <c r="AC186" s="126">
        <f>100/AB$9*AB186</f>
        <v>-3.1808542004845517</v>
      </c>
      <c r="AD186" s="126"/>
      <c r="AE186" s="101">
        <f>AE176-AE184</f>
        <v>24720.589999999851</v>
      </c>
      <c r="AF186" s="126">
        <f>100/AE$9*AE186</f>
        <v>1.123663181818175</v>
      </c>
      <c r="AG186" s="142"/>
      <c r="AH186" s="151"/>
    </row>
    <row r="187" spans="2:37" s="50" customFormat="1" ht="15.75" thickTop="1" x14ac:dyDescent="0.25">
      <c r="B187" s="30"/>
      <c r="C187" s="30"/>
      <c r="F187" s="75"/>
      <c r="G187" s="75"/>
      <c r="H187" s="126"/>
      <c r="I187" s="75"/>
      <c r="J187" s="75"/>
      <c r="K187" s="126"/>
      <c r="L187" s="111"/>
      <c r="M187" s="75"/>
      <c r="N187" s="75"/>
      <c r="O187" s="126"/>
      <c r="P187" s="75"/>
      <c r="Q187" s="75"/>
      <c r="R187" s="75"/>
      <c r="S187" s="126"/>
      <c r="T187" s="75"/>
      <c r="U187" s="75"/>
      <c r="V187" s="75"/>
      <c r="W187" s="126"/>
      <c r="X187" s="75"/>
      <c r="Y187" s="123"/>
      <c r="Z187" s="75"/>
      <c r="AA187" s="125"/>
      <c r="AB187" s="75"/>
      <c r="AC187" s="126"/>
      <c r="AD187" s="126"/>
      <c r="AE187" s="75"/>
      <c r="AF187" s="126"/>
      <c r="AG187" s="142"/>
      <c r="AH187" s="151"/>
    </row>
    <row r="188" spans="2:37" ht="15.75" x14ac:dyDescent="0.25">
      <c r="B188" s="13"/>
      <c r="F188" s="12"/>
      <c r="G188" s="24"/>
      <c r="I188" s="22"/>
      <c r="J188" s="24"/>
      <c r="L188" s="22"/>
      <c r="M188" s="25"/>
      <c r="N188" s="25"/>
      <c r="P188" s="12"/>
      <c r="Q188" s="25"/>
      <c r="R188" s="24"/>
      <c r="T188" s="24"/>
      <c r="U188" s="24"/>
      <c r="V188" s="24"/>
      <c r="X188" s="12"/>
      <c r="Y188" s="96"/>
      <c r="Z188" s="120"/>
      <c r="AB188" s="120"/>
      <c r="AE188" s="120"/>
      <c r="AG188" s="137"/>
    </row>
    <row r="189" spans="2:37" s="128" customFormat="1" ht="11.25" x14ac:dyDescent="0.2">
      <c r="B189" s="127" t="s">
        <v>187</v>
      </c>
      <c r="F189" s="155"/>
      <c r="G189" s="156">
        <f>G186-G190</f>
        <v>0</v>
      </c>
      <c r="H189" s="149"/>
      <c r="I189" s="157"/>
      <c r="J189" s="156">
        <f>J186-J190</f>
        <v>2.0372681319713593E-10</v>
      </c>
      <c r="K189" s="149"/>
      <c r="L189" s="157"/>
      <c r="M189" s="158"/>
      <c r="N189" s="156">
        <f>N186-N190</f>
        <v>-4.5110937207937241E-10</v>
      </c>
      <c r="O189" s="149"/>
      <c r="P189" s="155"/>
      <c r="Q189" s="158"/>
      <c r="R189" s="156">
        <f>R186-R190</f>
        <v>-4.3291947804391384E-10</v>
      </c>
      <c r="S189" s="149"/>
      <c r="T189" s="156"/>
      <c r="U189" s="156"/>
      <c r="V189" s="156">
        <f>V186-V190</f>
        <v>-2.255546860396862E-10</v>
      </c>
      <c r="W189" s="149"/>
      <c r="X189" s="155"/>
      <c r="Y189" s="159"/>
      <c r="Z189" s="156">
        <f>Z186-Z190</f>
        <v>1.6007106751203537E-10</v>
      </c>
      <c r="AA189" s="129"/>
      <c r="AB189" s="156">
        <f>AB186-AB190</f>
        <v>-2.4738255888223648E-10</v>
      </c>
      <c r="AC189" s="149"/>
      <c r="AD189" s="149"/>
      <c r="AE189" s="156"/>
      <c r="AF189" s="149"/>
      <c r="AG189" s="160"/>
      <c r="AH189" s="151"/>
    </row>
    <row r="190" spans="2:37" s="161" customFormat="1" ht="11.25" x14ac:dyDescent="0.2">
      <c r="B190" s="128" t="s">
        <v>214</v>
      </c>
      <c r="C190" s="128"/>
      <c r="D190" s="128"/>
      <c r="F190" s="162"/>
      <c r="G190" s="162">
        <v>-53192.04</v>
      </c>
      <c r="H190" s="149"/>
      <c r="I190" s="162"/>
      <c r="J190" s="162">
        <v>123024.86</v>
      </c>
      <c r="K190" s="149"/>
      <c r="L190" s="162"/>
      <c r="M190" s="162">
        <v>110122.36</v>
      </c>
      <c r="N190" s="162">
        <v>41814.89</v>
      </c>
      <c r="O190" s="149"/>
      <c r="P190" s="155"/>
      <c r="Q190" s="162">
        <v>69631.38</v>
      </c>
      <c r="R190" s="162">
        <v>21624.05</v>
      </c>
      <c r="S190" s="149"/>
      <c r="T190" s="162"/>
      <c r="U190" s="162">
        <v>150316.07999999999</v>
      </c>
      <c r="V190" s="162">
        <v>63858.26</v>
      </c>
      <c r="W190" s="149"/>
      <c r="X190" s="155"/>
      <c r="Y190" s="159"/>
      <c r="Z190" s="162">
        <v>54035.91</v>
      </c>
      <c r="AA190" s="129"/>
      <c r="AB190" s="162">
        <v>-57192.59</v>
      </c>
      <c r="AC190" s="149"/>
      <c r="AD190" s="149"/>
      <c r="AE190" s="162"/>
      <c r="AF190" s="149"/>
      <c r="AG190" s="160"/>
      <c r="AH190" s="151"/>
    </row>
    <row r="192" spans="2:37" x14ac:dyDescent="0.25">
      <c r="B192" s="150" t="s">
        <v>200</v>
      </c>
      <c r="F192" s="12"/>
      <c r="G192" s="116">
        <v>0</v>
      </c>
      <c r="I192" s="4"/>
      <c r="J192" s="116">
        <v>5790</v>
      </c>
      <c r="L192" s="119"/>
      <c r="M192" s="119"/>
      <c r="N192" s="116">
        <v>5300</v>
      </c>
      <c r="P192" s="119"/>
      <c r="Q192" s="119">
        <f>14000</f>
        <v>14000</v>
      </c>
      <c r="R192" s="116">
        <v>6470</v>
      </c>
      <c r="T192" s="119"/>
      <c r="U192" s="119">
        <v>8080</v>
      </c>
      <c r="V192" s="116">
        <v>7533.5</v>
      </c>
      <c r="Z192" s="119">
        <v>0</v>
      </c>
      <c r="AB192" s="116">
        <v>6079.8</v>
      </c>
      <c r="AG192" s="135"/>
    </row>
    <row r="193" spans="2:38" x14ac:dyDescent="0.25">
      <c r="B193" s="150" t="s">
        <v>201</v>
      </c>
      <c r="G193" s="116">
        <v>0</v>
      </c>
      <c r="I193" s="4"/>
      <c r="J193" s="116">
        <v>50000</v>
      </c>
      <c r="L193" s="119"/>
      <c r="M193" s="119"/>
      <c r="N193" s="116">
        <v>89838</v>
      </c>
      <c r="P193" s="119"/>
      <c r="Q193" s="119">
        <f>224810/2*1</f>
        <v>112405</v>
      </c>
      <c r="R193" s="116">
        <v>126000</v>
      </c>
      <c r="T193" s="119"/>
      <c r="U193" s="119">
        <v>133000</v>
      </c>
      <c r="V193" s="116">
        <v>118000</v>
      </c>
      <c r="Z193" s="119">
        <v>0</v>
      </c>
      <c r="AB193" s="116">
        <v>97028.13</v>
      </c>
      <c r="AG193" s="135"/>
    </row>
    <row r="194" spans="2:38" s="35" customFormat="1" ht="15.75" x14ac:dyDescent="0.25">
      <c r="B194" s="150" t="s">
        <v>202</v>
      </c>
      <c r="H194" s="126"/>
      <c r="K194" s="126"/>
      <c r="O194" s="126"/>
      <c r="R194" s="122"/>
      <c r="S194" s="126"/>
      <c r="W194" s="126"/>
      <c r="Y194" s="97"/>
      <c r="Z194" s="122"/>
      <c r="AA194" s="125"/>
      <c r="AB194" s="116">
        <f>70159.2-48282.25</f>
        <v>21876.949999999997</v>
      </c>
      <c r="AC194" s="126"/>
      <c r="AD194" s="126"/>
      <c r="AE194" s="122"/>
      <c r="AF194" s="126"/>
      <c r="AG194" s="138"/>
      <c r="AH194" s="153"/>
    </row>
    <row r="195" spans="2:38" x14ac:dyDescent="0.25">
      <c r="B195" s="150" t="s">
        <v>213</v>
      </c>
      <c r="C195" s="1"/>
      <c r="G195" s="116">
        <v>-86689.699999999983</v>
      </c>
      <c r="I195" s="4"/>
      <c r="J195" s="116"/>
      <c r="L195" s="119"/>
      <c r="M195" s="119"/>
      <c r="N195" s="116">
        <v>2190.4999999997817</v>
      </c>
      <c r="P195" s="119"/>
      <c r="Q195" s="119"/>
      <c r="R195" s="116"/>
      <c r="T195" s="119"/>
      <c r="U195" s="119"/>
      <c r="V195" s="116"/>
      <c r="AG195" s="135"/>
    </row>
    <row r="196" spans="2:38" x14ac:dyDescent="0.25">
      <c r="B196" s="150"/>
      <c r="C196" s="1"/>
      <c r="F196" s="116"/>
      <c r="G196" s="116"/>
      <c r="I196" s="116"/>
      <c r="J196" s="116"/>
      <c r="L196" s="119"/>
      <c r="M196" s="119"/>
      <c r="N196" s="116"/>
      <c r="P196" s="119"/>
      <c r="Q196" s="119"/>
      <c r="R196" s="116"/>
      <c r="T196" s="119"/>
      <c r="U196" s="119"/>
      <c r="V196" s="116"/>
      <c r="X196" s="116"/>
      <c r="Y196" s="124"/>
      <c r="AG196" s="135"/>
      <c r="AL196" s="115"/>
    </row>
    <row r="197" spans="2:38" ht="15.75" x14ac:dyDescent="0.25">
      <c r="B197" s="13" t="s">
        <v>101</v>
      </c>
      <c r="F197" s="40"/>
      <c r="G197" s="122">
        <f>G190+G193+G192+G195</f>
        <v>-139881.74</v>
      </c>
      <c r="I197" s="35"/>
      <c r="J197" s="35">
        <f>J190+J193+J192+J195</f>
        <v>178814.86</v>
      </c>
      <c r="L197" s="40"/>
      <c r="M197" s="35">
        <v>110122.36</v>
      </c>
      <c r="N197" s="122">
        <f>N190+N193+N192+N195</f>
        <v>139143.38999999978</v>
      </c>
      <c r="P197" s="40"/>
      <c r="Q197" s="35">
        <f>Q190+Q193+Q192+Q195</f>
        <v>196036.38</v>
      </c>
      <c r="R197" s="35">
        <f>R190+R193+R192+R195</f>
        <v>154094.04999999999</v>
      </c>
      <c r="T197" s="35"/>
      <c r="U197" s="35">
        <f>U190+U193+U192</f>
        <v>291396.07999999996</v>
      </c>
      <c r="V197" s="35">
        <f>V190+V193+V192</f>
        <v>189391.76</v>
      </c>
      <c r="X197" s="40"/>
      <c r="Y197" s="98"/>
      <c r="Z197" s="122">
        <f>Z190+Z193+Z192</f>
        <v>54035.91</v>
      </c>
      <c r="AB197" s="122">
        <f>AB190+SUM(AB192:AB194)</f>
        <v>67792.290000000008</v>
      </c>
      <c r="AE197" s="122"/>
      <c r="AG197" s="138"/>
    </row>
    <row r="203" spans="2:38" x14ac:dyDescent="0.25">
      <c r="D203" s="15"/>
    </row>
    <row r="204" spans="2:38" x14ac:dyDescent="0.25">
      <c r="D204" s="15"/>
    </row>
    <row r="205" spans="2:38" x14ac:dyDescent="0.25">
      <c r="D205" s="15"/>
    </row>
    <row r="206" spans="2:38" x14ac:dyDescent="0.25">
      <c r="D206" s="15"/>
    </row>
  </sheetData>
  <pageMargins left="0.78740157480314965" right="0.78740157480314965" top="0.59055118110236227" bottom="1.1417322834645669" header="0.70866141732283472" footer="0.31496062992125984"/>
  <pageSetup paperSize="9" scale="65" fitToHeight="10" orientation="landscape" r:id="rId1"/>
  <headerFooter>
    <oddFooter>&amp;CPROMERKA SA - Chemin de Cousson 23 – 1032 Romanel-sur-Lausanne
Tél. 021 633 79 19 – info@promerka.com</oddFooter>
  </headerFooter>
  <rowBreaks count="1" manualBreakCount="1">
    <brk id="54" max="16383" man="1"/>
  </rowBreak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E275-CF57-40A9-A58C-79A31FE03CC6}">
  <sheetPr>
    <pageSetUpPr fitToPage="1"/>
  </sheetPr>
  <dimension ref="A1:N228"/>
  <sheetViews>
    <sheetView workbookViewId="0">
      <pane ySplit="6" topLeftCell="A61" activePane="bottomLeft" state="frozen"/>
      <selection pane="bottomLeft" activeCell="N71" sqref="N71"/>
    </sheetView>
  </sheetViews>
  <sheetFormatPr baseColWidth="10" defaultRowHeight="15" outlineLevelCol="1" x14ac:dyDescent="0.25"/>
  <cols>
    <col min="1" max="1" width="2.42578125" style="47" customWidth="1"/>
    <col min="2" max="2" width="2.85546875" style="47" customWidth="1"/>
    <col min="3" max="3" width="3.42578125" style="45" customWidth="1"/>
    <col min="4" max="4" width="39" style="46" customWidth="1"/>
    <col min="5" max="5" width="8.7109375" style="67" hidden="1" customWidth="1" outlineLevel="1"/>
    <col min="6" max="6" width="4.5703125" style="53" hidden="1" customWidth="1" outlineLevel="1"/>
    <col min="7" max="7" width="12.140625" style="84" hidden="1" customWidth="1" outlineLevel="1"/>
    <col min="8" max="9" width="17.5703125" style="55" hidden="1" customWidth="1" outlineLevel="1"/>
    <col min="10" max="10" width="4.5703125" style="53" hidden="1" customWidth="1" outlineLevel="1"/>
    <col min="11" max="11" width="12.140625" style="84" hidden="1" customWidth="1" outlineLevel="1"/>
    <col min="12" max="12" width="17.5703125" style="55" bestFit="1" customWidth="1" collapsed="1"/>
    <col min="13" max="13" width="4.5703125" style="53" customWidth="1"/>
    <col min="14" max="14" width="14.140625" customWidth="1"/>
  </cols>
  <sheetData>
    <row r="1" spans="1:14" ht="45" customHeight="1" x14ac:dyDescent="0.25"/>
    <row r="2" spans="1:14" ht="45" customHeight="1" x14ac:dyDescent="0.25"/>
    <row r="4" spans="1:14" x14ac:dyDescent="0.25">
      <c r="A4" s="53"/>
      <c r="B4" s="54" t="s">
        <v>127</v>
      </c>
      <c r="C4" s="54"/>
      <c r="D4" s="55"/>
      <c r="E4" s="68"/>
      <c r="F4" s="78"/>
      <c r="G4" s="85" t="s">
        <v>163</v>
      </c>
      <c r="I4" s="78" t="s">
        <v>175</v>
      </c>
      <c r="J4" s="78"/>
      <c r="K4" s="85" t="s">
        <v>163</v>
      </c>
      <c r="M4" s="78"/>
    </row>
    <row r="5" spans="1:14" x14ac:dyDescent="0.25">
      <c r="F5" s="79"/>
      <c r="G5" s="86" t="s">
        <v>131</v>
      </c>
      <c r="H5" s="43" t="s">
        <v>130</v>
      </c>
      <c r="I5" s="79" t="s">
        <v>130</v>
      </c>
      <c r="J5" s="79"/>
      <c r="K5" s="86" t="s">
        <v>131</v>
      </c>
      <c r="L5" s="43" t="s">
        <v>130</v>
      </c>
      <c r="M5" s="79"/>
    </row>
    <row r="6" spans="1:14" ht="15.75" x14ac:dyDescent="0.25">
      <c r="F6" s="80"/>
      <c r="G6" s="87" t="s">
        <v>120</v>
      </c>
      <c r="H6" s="51" t="s">
        <v>168</v>
      </c>
      <c r="I6" s="80" t="s">
        <v>120</v>
      </c>
      <c r="J6" s="80"/>
      <c r="K6" s="87" t="s">
        <v>176</v>
      </c>
      <c r="L6" s="51" t="s">
        <v>177</v>
      </c>
      <c r="M6" s="80"/>
    </row>
    <row r="7" spans="1:14" x14ac:dyDescent="0.25">
      <c r="B7" s="57" t="s">
        <v>126</v>
      </c>
      <c r="F7" s="56"/>
      <c r="G7" s="88"/>
      <c r="H7" s="56"/>
      <c r="I7" s="56"/>
      <c r="J7" s="56"/>
      <c r="K7" s="88"/>
      <c r="L7" s="56"/>
      <c r="M7" s="56"/>
    </row>
    <row r="8" spans="1:14" x14ac:dyDescent="0.25">
      <c r="B8" s="45"/>
      <c r="F8" s="56"/>
      <c r="G8" s="88"/>
      <c r="H8" s="56"/>
      <c r="I8" s="56"/>
      <c r="J8" s="56"/>
      <c r="K8" s="88"/>
      <c r="L8" s="56"/>
      <c r="M8" s="56"/>
    </row>
    <row r="9" spans="1:14" x14ac:dyDescent="0.25">
      <c r="B9" s="47" t="s">
        <v>139</v>
      </c>
      <c r="F9" s="56"/>
      <c r="G9" s="88"/>
      <c r="H9" s="56"/>
      <c r="I9" s="56"/>
      <c r="J9" s="56"/>
      <c r="K9" s="88"/>
      <c r="L9" s="56"/>
      <c r="M9" s="56"/>
    </row>
    <row r="10" spans="1:14" x14ac:dyDescent="0.25">
      <c r="B10" s="45"/>
      <c r="F10" s="56"/>
      <c r="G10" s="88"/>
      <c r="H10" s="56"/>
      <c r="I10" s="56"/>
      <c r="J10" s="56"/>
      <c r="K10" s="88"/>
      <c r="L10" s="56"/>
      <c r="M10" s="56"/>
    </row>
    <row r="11" spans="1:14" x14ac:dyDescent="0.25">
      <c r="B11" s="45"/>
      <c r="D11" s="46" t="s">
        <v>128</v>
      </c>
      <c r="E11" s="67">
        <v>2022</v>
      </c>
      <c r="F11" s="74"/>
      <c r="G11" s="88"/>
      <c r="H11" s="74">
        <v>141340.04999999999</v>
      </c>
      <c r="I11" s="74">
        <v>141340.04999999999</v>
      </c>
      <c r="J11" s="74"/>
      <c r="K11" s="88"/>
      <c r="L11" s="82">
        <v>141340.04999999999</v>
      </c>
      <c r="M11" s="74"/>
    </row>
    <row r="12" spans="1:14" x14ac:dyDescent="0.25">
      <c r="B12" s="45"/>
      <c r="D12" s="46" t="s">
        <v>128</v>
      </c>
      <c r="E12" s="67">
        <v>2022</v>
      </c>
      <c r="F12" s="74"/>
      <c r="G12" s="88"/>
      <c r="H12" s="74">
        <v>-22558.5</v>
      </c>
      <c r="I12" s="74">
        <v>-22558.5</v>
      </c>
      <c r="J12" s="74"/>
      <c r="K12" s="88"/>
      <c r="L12" s="82">
        <v>-22558.5</v>
      </c>
      <c r="M12" s="74"/>
    </row>
    <row r="13" spans="1:14" x14ac:dyDescent="0.25">
      <c r="D13" s="46" t="s">
        <v>142</v>
      </c>
      <c r="E13" s="73">
        <v>45012</v>
      </c>
      <c r="F13" s="58"/>
      <c r="G13" s="89"/>
      <c r="H13" s="58">
        <v>575156.30000000005</v>
      </c>
      <c r="I13" s="58">
        <v>575156.30000000005</v>
      </c>
      <c r="J13" s="58"/>
      <c r="K13" s="89"/>
      <c r="L13" s="83">
        <v>575156.30000000005</v>
      </c>
      <c r="M13" s="58"/>
    </row>
    <row r="14" spans="1:14" x14ac:dyDescent="0.25">
      <c r="D14" s="46" t="s">
        <v>142</v>
      </c>
      <c r="E14" s="73"/>
      <c r="F14" s="58"/>
      <c r="G14" s="89"/>
      <c r="H14" s="58">
        <v>600000</v>
      </c>
      <c r="I14" s="58">
        <v>600000</v>
      </c>
      <c r="J14" s="58"/>
      <c r="K14" s="89"/>
      <c r="L14" s="58">
        <v>1280000</v>
      </c>
      <c r="M14" s="58"/>
    </row>
    <row r="15" spans="1:14" x14ac:dyDescent="0.25">
      <c r="D15" s="46" t="s">
        <v>132</v>
      </c>
      <c r="E15" s="73"/>
      <c r="F15" s="58"/>
      <c r="G15" s="89"/>
      <c r="H15" s="58">
        <v>-200000</v>
      </c>
      <c r="I15" s="58">
        <v>-200000</v>
      </c>
      <c r="J15" s="58"/>
      <c r="K15" s="89"/>
      <c r="L15" s="58">
        <v>-300000</v>
      </c>
      <c r="M15" s="58"/>
    </row>
    <row r="16" spans="1:14" x14ac:dyDescent="0.25">
      <c r="C16" s="45" t="s">
        <v>129</v>
      </c>
      <c r="F16" s="42"/>
      <c r="G16" s="90">
        <f>1154975+30000+17500+12500</f>
        <v>1214975</v>
      </c>
      <c r="H16" s="42">
        <f>SUM(H11:H15)</f>
        <v>1093937.8500000001</v>
      </c>
      <c r="I16" s="42">
        <f>SUM(I11:I15)</f>
        <v>1093937.8500000001</v>
      </c>
      <c r="J16" s="42"/>
      <c r="K16" s="90">
        <f>G16/6*9</f>
        <v>1822462.5</v>
      </c>
      <c r="L16" s="42">
        <f>SUM(L11:L15)</f>
        <v>1673937.85</v>
      </c>
      <c r="M16" s="42"/>
      <c r="N16" s="99"/>
    </row>
    <row r="17" spans="2:14" x14ac:dyDescent="0.25">
      <c r="F17" s="42"/>
      <c r="G17" s="90"/>
      <c r="H17" s="42"/>
      <c r="I17" s="42"/>
      <c r="J17" s="42"/>
      <c r="K17" s="90"/>
      <c r="L17" s="42"/>
      <c r="M17" s="42"/>
    </row>
    <row r="18" spans="2:14" x14ac:dyDescent="0.25">
      <c r="B18" s="47" t="s">
        <v>140</v>
      </c>
      <c r="F18" s="42"/>
      <c r="G18" s="90"/>
      <c r="H18" s="42"/>
      <c r="I18" s="42"/>
      <c r="J18" s="42"/>
      <c r="K18" s="90"/>
      <c r="L18" s="42"/>
      <c r="M18" s="42"/>
    </row>
    <row r="19" spans="2:14" x14ac:dyDescent="0.25">
      <c r="F19" s="42"/>
      <c r="G19" s="90"/>
      <c r="H19" s="42"/>
      <c r="I19" s="42"/>
      <c r="J19" s="42"/>
      <c r="K19" s="90"/>
      <c r="L19" s="42"/>
      <c r="M19" s="42"/>
    </row>
    <row r="20" spans="2:14" x14ac:dyDescent="0.25">
      <c r="C20" s="45" t="s">
        <v>156</v>
      </c>
      <c r="E20" s="73"/>
      <c r="F20" s="42"/>
      <c r="G20" s="90">
        <f>-(30000+17500)</f>
        <v>-47500</v>
      </c>
      <c r="H20" s="42">
        <f>-(15000+10000)</f>
        <v>-25000</v>
      </c>
      <c r="I20" s="42">
        <f>-(30000+17500)</f>
        <v>-47500</v>
      </c>
      <c r="J20" s="42"/>
      <c r="K20" s="90">
        <f>G20/6*9</f>
        <v>-71250</v>
      </c>
      <c r="L20" s="42">
        <v>-40000</v>
      </c>
      <c r="M20" s="42"/>
      <c r="N20" s="99"/>
    </row>
    <row r="21" spans="2:14" x14ac:dyDescent="0.25">
      <c r="E21" s="73"/>
      <c r="F21" s="42"/>
      <c r="G21" s="90"/>
      <c r="H21" s="42"/>
      <c r="I21" s="42"/>
      <c r="J21" s="42"/>
      <c r="K21" s="90"/>
      <c r="L21" s="42"/>
      <c r="M21" s="42"/>
    </row>
    <row r="22" spans="2:14" x14ac:dyDescent="0.25">
      <c r="C22" s="45" t="s">
        <v>165</v>
      </c>
      <c r="E22" s="73"/>
      <c r="F22" s="42"/>
      <c r="G22" s="90">
        <v>-12500</v>
      </c>
      <c r="H22" s="42">
        <v>-6000</v>
      </c>
      <c r="I22" s="42">
        <v>-6000</v>
      </c>
      <c r="J22" s="42"/>
      <c r="K22" s="90">
        <f>G22/6*9</f>
        <v>-18750</v>
      </c>
      <c r="L22" s="42">
        <v>-9000</v>
      </c>
      <c r="M22" s="42"/>
      <c r="N22" s="99"/>
    </row>
    <row r="23" spans="2:14" x14ac:dyDescent="0.25">
      <c r="F23" s="42"/>
      <c r="G23" s="90"/>
      <c r="H23" s="42"/>
      <c r="I23" s="42"/>
      <c r="J23" s="42"/>
      <c r="K23" s="90"/>
      <c r="L23" s="42"/>
      <c r="M23" s="42"/>
    </row>
    <row r="24" spans="2:14" x14ac:dyDescent="0.25">
      <c r="D24" s="46" t="s">
        <v>133</v>
      </c>
      <c r="E24" s="67">
        <v>2022</v>
      </c>
      <c r="F24" s="58"/>
      <c r="G24" s="90"/>
      <c r="H24" s="58">
        <v>-68404</v>
      </c>
      <c r="I24" s="58">
        <v>-68404</v>
      </c>
      <c r="J24" s="58"/>
      <c r="K24" s="90"/>
      <c r="L24" s="83">
        <v>-68404</v>
      </c>
      <c r="M24" s="58"/>
    </row>
    <row r="25" spans="2:14" x14ac:dyDescent="0.25">
      <c r="D25" s="46" t="s">
        <v>133</v>
      </c>
      <c r="E25" s="67">
        <v>2022</v>
      </c>
      <c r="F25" s="58"/>
      <c r="G25" s="90"/>
      <c r="H25" s="58">
        <v>12504.56</v>
      </c>
      <c r="I25" s="58">
        <v>12504.56</v>
      </c>
      <c r="J25" s="58"/>
      <c r="K25" s="90"/>
      <c r="L25" s="83">
        <v>12504.56</v>
      </c>
      <c r="M25" s="58"/>
    </row>
    <row r="26" spans="2:14" x14ac:dyDescent="0.25">
      <c r="D26" s="46" t="s">
        <v>137</v>
      </c>
      <c r="E26" s="73">
        <v>45012</v>
      </c>
      <c r="F26" s="58"/>
      <c r="G26" s="90"/>
      <c r="H26" s="58">
        <f>-(109655.59+29702+11664-8164.8)</f>
        <v>-142856.79</v>
      </c>
      <c r="I26" s="58">
        <f>-(109655.59+29702+11664-8164.8)</f>
        <v>-142856.79</v>
      </c>
      <c r="J26" s="58"/>
      <c r="K26" s="90"/>
      <c r="L26" s="83">
        <f>-(109655.59+29702+11664-8164.8)</f>
        <v>-142856.79</v>
      </c>
      <c r="M26" s="58"/>
    </row>
    <row r="27" spans="2:14" x14ac:dyDescent="0.25">
      <c r="D27" s="46" t="s">
        <v>138</v>
      </c>
      <c r="E27" s="73">
        <v>45012</v>
      </c>
      <c r="F27" s="58"/>
      <c r="G27" s="90"/>
      <c r="H27" s="58">
        <f>-(197491.06-109655.59+8164.8)</f>
        <v>-96000.27</v>
      </c>
      <c r="I27" s="58">
        <f>-(197491.06-109655.59+8164.8)</f>
        <v>-96000.27</v>
      </c>
      <c r="J27" s="58"/>
      <c r="K27" s="90"/>
      <c r="L27" s="83">
        <f>-(197491.06-109655.59+8164.8)</f>
        <v>-96000.27</v>
      </c>
      <c r="M27" s="58"/>
    </row>
    <row r="28" spans="2:14" x14ac:dyDescent="0.25">
      <c r="D28" s="46" t="s">
        <v>138</v>
      </c>
      <c r="E28" s="73"/>
      <c r="F28" s="58"/>
      <c r="G28" s="90"/>
      <c r="H28" s="58">
        <v>-240000</v>
      </c>
      <c r="I28" s="58">
        <v>-240000</v>
      </c>
      <c r="J28" s="58"/>
      <c r="K28" s="90"/>
      <c r="L28" s="58">
        <v>-560000</v>
      </c>
      <c r="M28" s="58"/>
    </row>
    <row r="29" spans="2:14" x14ac:dyDescent="0.25">
      <c r="D29" s="46" t="s">
        <v>136</v>
      </c>
      <c r="E29" s="73"/>
      <c r="F29" s="58"/>
      <c r="G29" s="90"/>
      <c r="H29" s="58">
        <v>0</v>
      </c>
      <c r="I29" s="58">
        <v>0</v>
      </c>
      <c r="J29" s="58"/>
      <c r="K29" s="90"/>
      <c r="L29" s="58">
        <f>H29/6*9</f>
        <v>0</v>
      </c>
      <c r="M29" s="58"/>
    </row>
    <row r="30" spans="2:14" x14ac:dyDescent="0.25">
      <c r="D30" s="46" t="s">
        <v>134</v>
      </c>
      <c r="E30" s="73"/>
      <c r="F30" s="58"/>
      <c r="G30" s="90"/>
      <c r="H30" s="58">
        <v>80000</v>
      </c>
      <c r="I30" s="58">
        <v>80000</v>
      </c>
      <c r="J30" s="58"/>
      <c r="K30" s="90"/>
      <c r="L30" s="58">
        <v>200000</v>
      </c>
      <c r="M30" s="58"/>
    </row>
    <row r="31" spans="2:14" x14ac:dyDescent="0.25">
      <c r="C31" s="45" t="s">
        <v>135</v>
      </c>
      <c r="F31" s="42"/>
      <c r="G31" s="90">
        <f>-1040000/2</f>
        <v>-520000</v>
      </c>
      <c r="H31" s="42">
        <f>SUM(H24:H30)</f>
        <v>-454756.5</v>
      </c>
      <c r="I31" s="42">
        <f>SUM(I24:I30)</f>
        <v>-454756.5</v>
      </c>
      <c r="J31" s="42"/>
      <c r="K31" s="90">
        <f>G31/6*9</f>
        <v>-780000</v>
      </c>
      <c r="L31" s="42">
        <f>SUM(L24:L30)</f>
        <v>-654756.5</v>
      </c>
      <c r="M31" s="42"/>
      <c r="N31" s="99"/>
    </row>
    <row r="32" spans="2:14" x14ac:dyDescent="0.25">
      <c r="F32" s="42"/>
      <c r="G32" s="90"/>
      <c r="H32" s="42"/>
      <c r="I32" s="42"/>
      <c r="J32" s="42"/>
      <c r="K32" s="90"/>
      <c r="L32" s="42"/>
      <c r="M32" s="42"/>
      <c r="N32" s="99"/>
    </row>
    <row r="33" spans="3:14" x14ac:dyDescent="0.25">
      <c r="C33" s="45" t="s">
        <v>162</v>
      </c>
      <c r="F33" s="42"/>
      <c r="G33" s="90">
        <f>-(750+125000)</f>
        <v>-125750</v>
      </c>
      <c r="H33" s="42">
        <f>-(750+125000)</f>
        <v>-125750</v>
      </c>
      <c r="I33" s="42">
        <f>-(750+125000)</f>
        <v>-125750</v>
      </c>
      <c r="J33" s="42"/>
      <c r="K33" s="90">
        <f>G33/6*9</f>
        <v>-188625</v>
      </c>
      <c r="L33" s="42">
        <f>H33/6*9</f>
        <v>-188625</v>
      </c>
      <c r="M33" s="42"/>
      <c r="N33" s="99"/>
    </row>
    <row r="34" spans="3:14" x14ac:dyDescent="0.25">
      <c r="F34" s="42"/>
      <c r="G34" s="90"/>
      <c r="H34" s="42"/>
      <c r="I34" s="42"/>
      <c r="J34" s="42"/>
      <c r="K34" s="90"/>
      <c r="L34" s="42"/>
      <c r="M34" s="42"/>
    </row>
    <row r="35" spans="3:14" x14ac:dyDescent="0.25">
      <c r="C35" s="45" t="s">
        <v>166</v>
      </c>
      <c r="F35" s="42"/>
      <c r="G35" s="90">
        <f>-500-2500</f>
        <v>-3000</v>
      </c>
      <c r="H35" s="42">
        <f>-500-2500</f>
        <v>-3000</v>
      </c>
      <c r="I35" s="42">
        <f>-500-2500</f>
        <v>-3000</v>
      </c>
      <c r="J35" s="42"/>
      <c r="K35" s="90">
        <f>G35/6*9</f>
        <v>-4500</v>
      </c>
      <c r="L35" s="42">
        <f>H35/6*9</f>
        <v>-4500</v>
      </c>
      <c r="M35" s="42"/>
      <c r="N35" s="99"/>
    </row>
    <row r="36" spans="3:14" x14ac:dyDescent="0.25">
      <c r="F36" s="42"/>
      <c r="G36" s="90"/>
      <c r="H36" s="42"/>
      <c r="I36" s="42"/>
      <c r="J36" s="42"/>
      <c r="K36" s="90"/>
      <c r="L36" s="42"/>
      <c r="M36" s="42"/>
    </row>
    <row r="37" spans="3:14" x14ac:dyDescent="0.25">
      <c r="D37" s="46" t="s">
        <v>170</v>
      </c>
      <c r="E37" s="73"/>
      <c r="F37" s="58"/>
      <c r="G37" s="89"/>
      <c r="H37" s="58"/>
      <c r="I37" s="76">
        <v>-2538.1999999999998</v>
      </c>
      <c r="J37" s="58"/>
      <c r="K37" s="89"/>
      <c r="L37" s="76"/>
      <c r="M37" s="58"/>
    </row>
    <row r="38" spans="3:14" x14ac:dyDescent="0.25">
      <c r="D38" s="46" t="s">
        <v>171</v>
      </c>
      <c r="E38" s="73"/>
      <c r="F38" s="58"/>
      <c r="G38" s="89"/>
      <c r="H38" s="58"/>
      <c r="I38" s="76">
        <v>-220.95</v>
      </c>
      <c r="J38" s="58"/>
      <c r="K38" s="89"/>
      <c r="L38" s="76"/>
      <c r="M38" s="58"/>
    </row>
    <row r="39" spans="3:14" x14ac:dyDescent="0.25">
      <c r="D39" s="46" t="s">
        <v>172</v>
      </c>
      <c r="E39" s="73"/>
      <c r="F39" s="58"/>
      <c r="G39" s="89"/>
      <c r="H39" s="58"/>
      <c r="I39" s="76">
        <v>-585.1</v>
      </c>
      <c r="J39" s="58"/>
      <c r="K39" s="89"/>
      <c r="L39" s="76"/>
      <c r="M39" s="58"/>
    </row>
    <row r="40" spans="3:14" x14ac:dyDescent="0.25">
      <c r="D40" s="46" t="s">
        <v>173</v>
      </c>
      <c r="F40" s="42"/>
      <c r="G40" s="90"/>
      <c r="H40" s="42"/>
      <c r="I40" s="76">
        <f>-(1540+40.45+65)</f>
        <v>-1645.45</v>
      </c>
      <c r="J40" s="42"/>
      <c r="K40" s="90"/>
      <c r="L40" s="76"/>
      <c r="M40" s="42"/>
    </row>
    <row r="41" spans="3:14" x14ac:dyDescent="0.25">
      <c r="C41" s="45" t="s">
        <v>169</v>
      </c>
      <c r="F41" s="42"/>
      <c r="G41" s="90"/>
      <c r="H41" s="42"/>
      <c r="I41" s="49">
        <f>SUM(I37:I40)</f>
        <v>-4989.7</v>
      </c>
      <c r="J41" s="42"/>
      <c r="K41" s="90"/>
      <c r="L41" s="49">
        <f>SUM(L37:L40)</f>
        <v>0</v>
      </c>
      <c r="M41" s="42"/>
    </row>
    <row r="42" spans="3:14" x14ac:dyDescent="0.25">
      <c r="F42" s="42"/>
      <c r="G42" s="90"/>
      <c r="H42" s="42"/>
      <c r="I42" s="42"/>
      <c r="J42" s="42"/>
      <c r="K42" s="90"/>
      <c r="L42" s="42"/>
      <c r="M42" s="42"/>
    </row>
    <row r="43" spans="3:14" x14ac:dyDescent="0.25">
      <c r="C43" s="45" t="s">
        <v>174</v>
      </c>
      <c r="F43" s="42"/>
      <c r="G43" s="90"/>
      <c r="H43" s="42">
        <v>-15392.97</v>
      </c>
      <c r="I43" s="42">
        <v>-15392.97</v>
      </c>
      <c r="J43" s="42"/>
      <c r="K43" s="90"/>
      <c r="L43" s="42">
        <f>H43</f>
        <v>-15392.97</v>
      </c>
      <c r="M43" s="42"/>
      <c r="N43" s="99"/>
    </row>
    <row r="44" spans="3:14" x14ac:dyDescent="0.25">
      <c r="G44" s="90"/>
      <c r="K44" s="90"/>
    </row>
    <row r="45" spans="3:14" x14ac:dyDescent="0.25">
      <c r="D45" s="46" t="s">
        <v>183</v>
      </c>
      <c r="E45" s="67">
        <v>2022</v>
      </c>
      <c r="F45" s="58"/>
      <c r="G45" s="90"/>
      <c r="H45" s="58">
        <v>-24178.6</v>
      </c>
      <c r="I45" s="58">
        <v>-24178.6</v>
      </c>
      <c r="J45" s="58"/>
      <c r="K45" s="90"/>
      <c r="L45" s="83">
        <v>-24178.6</v>
      </c>
      <c r="M45" s="58"/>
    </row>
    <row r="46" spans="3:14" x14ac:dyDescent="0.25">
      <c r="D46" s="46" t="s">
        <v>147</v>
      </c>
      <c r="E46" s="67">
        <v>2022</v>
      </c>
      <c r="F46" s="58"/>
      <c r="G46" s="89">
        <v>0</v>
      </c>
      <c r="H46" s="58">
        <f>-(2539.45+12917.85)</f>
        <v>-15457.3</v>
      </c>
      <c r="I46" s="58">
        <f>-(2539.45+12917.85)</f>
        <v>-15457.3</v>
      </c>
      <c r="J46" s="58"/>
      <c r="K46" s="90"/>
      <c r="L46" s="83">
        <f>-(2539.45+12917.85)</f>
        <v>-15457.3</v>
      </c>
      <c r="M46" s="58"/>
    </row>
    <row r="47" spans="3:14" x14ac:dyDescent="0.25">
      <c r="D47" s="46" t="s">
        <v>181</v>
      </c>
      <c r="F47" s="58"/>
      <c r="G47" s="89">
        <f>-460000/2</f>
        <v>-230000</v>
      </c>
      <c r="H47" s="58">
        <f>-460000/2</f>
        <v>-230000</v>
      </c>
      <c r="I47" s="58">
        <f>-460000/2</f>
        <v>-230000</v>
      </c>
      <c r="J47" s="58"/>
      <c r="K47" s="89">
        <f>G47/6*9</f>
        <v>-345000</v>
      </c>
      <c r="L47" s="58">
        <v>-306616.5</v>
      </c>
      <c r="M47" s="58"/>
    </row>
    <row r="48" spans="3:14" x14ac:dyDescent="0.25">
      <c r="D48" s="46" t="s">
        <v>182</v>
      </c>
      <c r="F48" s="58"/>
      <c r="G48" s="89">
        <f>-69500/2</f>
        <v>-34750</v>
      </c>
      <c r="H48" s="58">
        <f>-69500/2</f>
        <v>-34750</v>
      </c>
      <c r="I48" s="58">
        <f>-69500/2</f>
        <v>-34750</v>
      </c>
      <c r="J48" s="58"/>
      <c r="K48" s="89">
        <f>G48/6*9</f>
        <v>-52125</v>
      </c>
      <c r="L48" s="58">
        <v>-52146.05</v>
      </c>
      <c r="M48" s="58"/>
    </row>
    <row r="49" spans="3:14" x14ac:dyDescent="0.25">
      <c r="D49" s="46" t="s">
        <v>184</v>
      </c>
      <c r="F49" s="58"/>
      <c r="G49" s="89">
        <f>-800/2</f>
        <v>-400</v>
      </c>
      <c r="H49" s="58">
        <f>-800/2</f>
        <v>-400</v>
      </c>
      <c r="I49" s="58">
        <f>-800/2</f>
        <v>-400</v>
      </c>
      <c r="J49" s="58"/>
      <c r="K49" s="89">
        <f>G49/6*9</f>
        <v>-600</v>
      </c>
      <c r="L49" s="58">
        <f>800/12*9</f>
        <v>600</v>
      </c>
      <c r="M49" s="58"/>
    </row>
    <row r="50" spans="3:14" x14ac:dyDescent="0.25">
      <c r="D50" s="46" t="s">
        <v>141</v>
      </c>
      <c r="E50" s="73"/>
      <c r="F50" s="58"/>
      <c r="G50" s="89"/>
      <c r="H50" s="58"/>
      <c r="I50" s="58"/>
      <c r="J50" s="58"/>
      <c r="K50" s="89"/>
      <c r="L50" s="58"/>
      <c r="M50" s="58"/>
    </row>
    <row r="51" spans="3:14" x14ac:dyDescent="0.25">
      <c r="D51" s="46" t="s">
        <v>150</v>
      </c>
      <c r="E51" s="73"/>
      <c r="F51" s="58"/>
      <c r="G51" s="89">
        <f>-70000/2</f>
        <v>-35000</v>
      </c>
      <c r="H51" s="58">
        <f>-35000/2</f>
        <v>-17500</v>
      </c>
      <c r="I51" s="58">
        <f>-35000/2</f>
        <v>-17500</v>
      </c>
      <c r="J51" s="58"/>
      <c r="K51" s="89">
        <f>G51/6*9</f>
        <v>-52500</v>
      </c>
      <c r="L51" s="58">
        <f>H51/6*9</f>
        <v>-26250</v>
      </c>
      <c r="M51" s="58"/>
    </row>
    <row r="52" spans="3:14" x14ac:dyDescent="0.25">
      <c r="C52" s="45" t="s">
        <v>146</v>
      </c>
      <c r="F52" s="42"/>
      <c r="G52" s="90">
        <f>SUM(G45:G51)</f>
        <v>-300150</v>
      </c>
      <c r="H52" s="42">
        <f>SUM(H45:H51)</f>
        <v>-322285.90000000002</v>
      </c>
      <c r="I52" s="42">
        <f>SUM(I45:I51)</f>
        <v>-322285.90000000002</v>
      </c>
      <c r="J52" s="42"/>
      <c r="K52" s="90">
        <f>SUM(K45:K51)</f>
        <v>-450225</v>
      </c>
      <c r="L52" s="42">
        <f>SUM(L45:L51)</f>
        <v>-424048.45</v>
      </c>
      <c r="M52" s="42"/>
      <c r="N52" s="99"/>
    </row>
    <row r="53" spans="3:14" x14ac:dyDescent="0.25">
      <c r="F53" s="58"/>
      <c r="G53" s="89"/>
      <c r="H53" s="58"/>
      <c r="I53" s="58"/>
      <c r="J53" s="58"/>
      <c r="K53" s="89"/>
      <c r="L53" s="58"/>
      <c r="M53" s="58"/>
    </row>
    <row r="54" spans="3:14" x14ac:dyDescent="0.25">
      <c r="C54" s="45" t="s">
        <v>145</v>
      </c>
      <c r="E54" s="73"/>
      <c r="F54" s="42"/>
      <c r="G54" s="90">
        <v>-102000</v>
      </c>
      <c r="H54" s="42">
        <v>-102180</v>
      </c>
      <c r="I54" s="42">
        <v>-102180</v>
      </c>
      <c r="J54" s="42"/>
      <c r="K54" s="90">
        <f>G54/6*9</f>
        <v>-153000</v>
      </c>
      <c r="L54" s="42">
        <f>H54/6*9</f>
        <v>-153270</v>
      </c>
      <c r="M54" s="42"/>
      <c r="N54" s="99"/>
    </row>
    <row r="56" spans="3:14" x14ac:dyDescent="0.25">
      <c r="D56" s="46" t="s">
        <v>148</v>
      </c>
      <c r="E56" s="73"/>
      <c r="F56" s="58"/>
      <c r="G56" s="89">
        <f>-37000/2</f>
        <v>-18500</v>
      </c>
      <c r="H56" s="58">
        <f>-37278.55/2</f>
        <v>-18639.275000000001</v>
      </c>
      <c r="I56" s="58">
        <f>-37278.55/2</f>
        <v>-18639.275000000001</v>
      </c>
      <c r="J56" s="58"/>
      <c r="K56" s="89">
        <f>G56/6*9</f>
        <v>-27750</v>
      </c>
      <c r="L56" s="58">
        <f t="shared" ref="L56:L58" si="0">H56/6*9</f>
        <v>-27958.912500000002</v>
      </c>
      <c r="M56" s="58"/>
    </row>
    <row r="57" spans="3:14" x14ac:dyDescent="0.25">
      <c r="D57" s="46" t="s">
        <v>149</v>
      </c>
      <c r="E57" s="73"/>
      <c r="F57" s="58"/>
      <c r="G57" s="89">
        <f>(-15000+6500)/2</f>
        <v>-4250</v>
      </c>
      <c r="H57" s="58">
        <f>-(3608+5696)</f>
        <v>-9304</v>
      </c>
      <c r="I57" s="58">
        <f>-(3608+5696)</f>
        <v>-9304</v>
      </c>
      <c r="J57" s="58"/>
      <c r="K57" s="89">
        <f>G57/6*9</f>
        <v>-6375</v>
      </c>
      <c r="L57" s="58">
        <f>-(8500-3608)/12*9-3608</f>
        <v>-7277</v>
      </c>
      <c r="M57" s="58"/>
    </row>
    <row r="58" spans="3:14" x14ac:dyDescent="0.25">
      <c r="D58" s="46" t="s">
        <v>39</v>
      </c>
      <c r="E58" s="73"/>
      <c r="F58" s="58"/>
      <c r="G58" s="89">
        <f>-18000/2</f>
        <v>-9000</v>
      </c>
      <c r="H58" s="58">
        <v>-9000</v>
      </c>
      <c r="I58" s="58">
        <v>-9000</v>
      </c>
      <c r="J58" s="58"/>
      <c r="K58" s="89">
        <f>G58/6*9</f>
        <v>-13500</v>
      </c>
      <c r="L58" s="58">
        <f t="shared" si="0"/>
        <v>-13500</v>
      </c>
      <c r="M58" s="58"/>
    </row>
    <row r="59" spans="3:14" x14ac:dyDescent="0.25">
      <c r="C59" s="45" t="s">
        <v>167</v>
      </c>
      <c r="E59" s="73"/>
      <c r="F59" s="42"/>
      <c r="G59" s="90">
        <f>SUM(G56:G58)</f>
        <v>-31750</v>
      </c>
      <c r="H59" s="42">
        <f>SUM(H56:H58)</f>
        <v>-36943.275000000001</v>
      </c>
      <c r="I59" s="42">
        <f>SUM(I56:I58)</f>
        <v>-36943.275000000001</v>
      </c>
      <c r="J59" s="42"/>
      <c r="K59" s="90">
        <f>SUM(K56:K58)</f>
        <v>-47625</v>
      </c>
      <c r="L59" s="42">
        <f>SUM(L56:L58)</f>
        <v>-48735.912500000006</v>
      </c>
      <c r="M59" s="42"/>
      <c r="N59" s="99"/>
    </row>
    <row r="60" spans="3:14" x14ac:dyDescent="0.25">
      <c r="E60" s="73"/>
      <c r="F60" s="58"/>
      <c r="G60" s="90"/>
      <c r="H60" s="58"/>
      <c r="I60" s="58"/>
      <c r="J60" s="58"/>
      <c r="K60" s="90"/>
      <c r="L60" s="58"/>
      <c r="M60" s="58"/>
    </row>
    <row r="61" spans="3:14" x14ac:dyDescent="0.25">
      <c r="D61" s="46" t="s">
        <v>151</v>
      </c>
      <c r="E61" s="73"/>
      <c r="F61" s="58"/>
      <c r="G61" s="89">
        <v>-3100</v>
      </c>
      <c r="H61" s="58">
        <v>-5285.2</v>
      </c>
      <c r="I61" s="58">
        <v>-5285.2</v>
      </c>
      <c r="J61" s="58"/>
      <c r="K61" s="89">
        <f>G61/6*9</f>
        <v>-4650</v>
      </c>
      <c r="L61" s="58">
        <v>-5285.2</v>
      </c>
      <c r="M61" s="58"/>
    </row>
    <row r="62" spans="3:14" x14ac:dyDescent="0.25">
      <c r="D62" s="46" t="s">
        <v>152</v>
      </c>
      <c r="E62" s="73"/>
      <c r="F62" s="58"/>
      <c r="G62" s="89">
        <f>-1950-650-230</f>
        <v>-2830</v>
      </c>
      <c r="H62" s="58">
        <f>-(3895.2+585.1+193.8+54)</f>
        <v>-4728.1000000000004</v>
      </c>
      <c r="I62" s="58">
        <f>-(3895.2+585.1+193.8+54)</f>
        <v>-4728.1000000000004</v>
      </c>
      <c r="J62" s="58"/>
      <c r="K62" s="89">
        <f>G62/6*9</f>
        <v>-4245</v>
      </c>
      <c r="L62" s="58">
        <f>-(3895.2+585.1+193.8+54)</f>
        <v>-4728.1000000000004</v>
      </c>
      <c r="M62" s="58"/>
    </row>
    <row r="63" spans="3:14" x14ac:dyDescent="0.25">
      <c r="D63" s="46" t="s">
        <v>153</v>
      </c>
      <c r="E63" s="73"/>
      <c r="F63" s="58"/>
      <c r="G63" s="89">
        <v>-1099</v>
      </c>
      <c r="H63" s="58">
        <v>-2198</v>
      </c>
      <c r="I63" s="58">
        <v>-2198</v>
      </c>
      <c r="J63" s="58"/>
      <c r="K63" s="89">
        <f>G63/6*9</f>
        <v>-1648.5</v>
      </c>
      <c r="L63" s="58">
        <v>-2198</v>
      </c>
      <c r="M63" s="58"/>
    </row>
    <row r="64" spans="3:14" x14ac:dyDescent="0.25">
      <c r="C64" s="45" t="s">
        <v>155</v>
      </c>
      <c r="E64" s="73"/>
      <c r="F64" s="42"/>
      <c r="G64" s="90">
        <f>SUM(G61:G63)</f>
        <v>-7029</v>
      </c>
      <c r="H64" s="42">
        <f>SUM(H61:H63)</f>
        <v>-12211.3</v>
      </c>
      <c r="I64" s="42">
        <f>SUM(I61:I63)</f>
        <v>-12211.3</v>
      </c>
      <c r="J64" s="42"/>
      <c r="K64" s="90">
        <f>SUM(K61:K63)</f>
        <v>-10543.5</v>
      </c>
      <c r="L64" s="42">
        <f>SUM(L61:L63)</f>
        <v>-12211.3</v>
      </c>
      <c r="M64" s="42"/>
      <c r="N64" s="99"/>
    </row>
    <row r="65" spans="1:14" x14ac:dyDescent="0.25">
      <c r="E65" s="73"/>
      <c r="F65" s="42"/>
      <c r="G65" s="90"/>
      <c r="H65" s="42"/>
      <c r="I65" s="42"/>
      <c r="J65" s="42"/>
      <c r="K65" s="90"/>
      <c r="L65" s="42"/>
      <c r="M65" s="42"/>
    </row>
    <row r="66" spans="1:14" x14ac:dyDescent="0.25">
      <c r="D66" s="46" t="s">
        <v>157</v>
      </c>
      <c r="E66" s="73"/>
      <c r="F66" s="58"/>
      <c r="G66" s="89">
        <f>-(2850+37500-7500-13000)</f>
        <v>-19850</v>
      </c>
      <c r="H66" s="58">
        <f>-(2850+37500-7500-13000)</f>
        <v>-19850</v>
      </c>
      <c r="I66" s="58">
        <f>-(2850+37500-7500-13000)</f>
        <v>-19850</v>
      </c>
      <c r="J66" s="58"/>
      <c r="K66" s="89">
        <f>G66/6*9</f>
        <v>-29775</v>
      </c>
      <c r="L66" s="58">
        <f t="shared" ref="L66:L67" si="1">H66/6*9</f>
        <v>-29775</v>
      </c>
      <c r="M66" s="58"/>
    </row>
    <row r="67" spans="1:14" x14ac:dyDescent="0.25">
      <c r="D67" s="46" t="s">
        <v>185</v>
      </c>
      <c r="E67" s="73"/>
      <c r="F67" s="58"/>
      <c r="G67" s="89">
        <v>-13000</v>
      </c>
      <c r="H67" s="58">
        <v>-13000</v>
      </c>
      <c r="I67" s="58">
        <v>-13000</v>
      </c>
      <c r="J67" s="58"/>
      <c r="K67" s="89">
        <f>G67/6*9</f>
        <v>-19500</v>
      </c>
      <c r="L67" s="58">
        <f t="shared" si="1"/>
        <v>-19500</v>
      </c>
      <c r="M67" s="58"/>
    </row>
    <row r="68" spans="1:14" x14ac:dyDescent="0.25">
      <c r="D68" s="46" t="s">
        <v>159</v>
      </c>
      <c r="E68" s="73"/>
      <c r="F68" s="76"/>
      <c r="G68" s="89">
        <f>-(7500)</f>
        <v>-7500</v>
      </c>
      <c r="H68" s="58">
        <v>-26000</v>
      </c>
      <c r="I68" s="76">
        <v>-52000</v>
      </c>
      <c r="J68" s="76"/>
      <c r="K68" s="89">
        <f>G68/6*9</f>
        <v>-11250</v>
      </c>
      <c r="L68" s="76">
        <f>H68/6*9</f>
        <v>-39000</v>
      </c>
      <c r="M68" s="76"/>
    </row>
    <row r="69" spans="1:14" x14ac:dyDescent="0.25">
      <c r="D69" s="46" t="s">
        <v>158</v>
      </c>
      <c r="E69" s="73"/>
      <c r="F69" s="76"/>
      <c r="G69" s="89">
        <v>37500</v>
      </c>
      <c r="H69" s="58">
        <v>35000</v>
      </c>
      <c r="I69" s="76">
        <f>-5846.6*6</f>
        <v>-35079.600000000006</v>
      </c>
      <c r="J69" s="76"/>
      <c r="K69" s="89">
        <f>G69/6*9</f>
        <v>56250</v>
      </c>
      <c r="L69" s="76">
        <f>5846.6*9</f>
        <v>52619.4</v>
      </c>
      <c r="M69" s="76"/>
    </row>
    <row r="70" spans="1:14" x14ac:dyDescent="0.25">
      <c r="C70" s="45" t="s">
        <v>161</v>
      </c>
      <c r="E70" s="73"/>
      <c r="F70" s="42"/>
      <c r="G70" s="90">
        <f>SUM(G66:G69)</f>
        <v>-2850</v>
      </c>
      <c r="H70" s="42">
        <f>SUM(H66:H69)</f>
        <v>-23850</v>
      </c>
      <c r="I70" s="42">
        <f>SUM(I66:I69)</f>
        <v>-119929.60000000001</v>
      </c>
      <c r="J70" s="42"/>
      <c r="K70" s="90">
        <f>SUM(K66:K69)</f>
        <v>-4275</v>
      </c>
      <c r="L70" s="42">
        <f>SUM(L66:L69)</f>
        <v>-35655.599999999999</v>
      </c>
      <c r="M70" s="42"/>
      <c r="N70" s="99"/>
    </row>
    <row r="71" spans="1:14" x14ac:dyDescent="0.25">
      <c r="E71" s="73"/>
      <c r="F71" s="42"/>
      <c r="G71" s="90"/>
      <c r="H71" s="42"/>
      <c r="I71" s="42"/>
      <c r="J71" s="42"/>
      <c r="K71" s="90"/>
      <c r="L71" s="42"/>
      <c r="M71" s="42"/>
    </row>
    <row r="72" spans="1:14" x14ac:dyDescent="0.25">
      <c r="C72" s="45" t="s">
        <v>160</v>
      </c>
      <c r="E72" s="73"/>
      <c r="F72" s="42"/>
      <c r="G72" s="90">
        <v>-21000</v>
      </c>
      <c r="H72" s="42">
        <v>-21000</v>
      </c>
      <c r="I72" s="42">
        <v>-21000</v>
      </c>
      <c r="J72" s="42"/>
      <c r="K72" s="90">
        <f>G72/6*9</f>
        <v>-31500</v>
      </c>
      <c r="L72" s="42">
        <f>H72/6*9</f>
        <v>-31500</v>
      </c>
      <c r="M72" s="42"/>
      <c r="N72" s="99"/>
    </row>
    <row r="73" spans="1:14" x14ac:dyDescent="0.25">
      <c r="E73" s="73"/>
      <c r="F73" s="42"/>
      <c r="G73" s="90"/>
      <c r="H73" s="42"/>
      <c r="I73" s="42"/>
      <c r="J73" s="42"/>
      <c r="K73" s="90"/>
      <c r="L73" s="42"/>
      <c r="M73" s="42"/>
    </row>
    <row r="74" spans="1:14" s="77" customFormat="1" x14ac:dyDescent="0.25">
      <c r="A74" s="60"/>
      <c r="B74" s="60"/>
      <c r="C74" s="45" t="s">
        <v>143</v>
      </c>
      <c r="D74" s="67"/>
      <c r="E74" s="73"/>
      <c r="F74" s="49"/>
      <c r="G74" s="90">
        <v>-2400</v>
      </c>
      <c r="H74" s="42">
        <v>-2400</v>
      </c>
      <c r="I74" s="42">
        <v>-2400</v>
      </c>
      <c r="J74" s="49"/>
      <c r="K74" s="90">
        <f>G74/6*9</f>
        <v>-3600</v>
      </c>
      <c r="L74" s="42">
        <f>H74/6*9</f>
        <v>-3600</v>
      </c>
      <c r="M74" s="49"/>
      <c r="N74" s="99"/>
    </row>
    <row r="75" spans="1:14" x14ac:dyDescent="0.25">
      <c r="E75" s="73"/>
      <c r="F75" s="42"/>
      <c r="G75" s="90"/>
      <c r="H75" s="42"/>
      <c r="I75" s="42"/>
      <c r="J75" s="42"/>
      <c r="K75" s="90"/>
      <c r="L75" s="42"/>
      <c r="M75" s="42"/>
    </row>
    <row r="76" spans="1:14" x14ac:dyDescent="0.25">
      <c r="C76" s="45" t="s">
        <v>164</v>
      </c>
      <c r="E76" s="73"/>
      <c r="F76" s="49"/>
      <c r="G76" s="90">
        <v>-3075</v>
      </c>
      <c r="H76" s="42">
        <f>-(1108+625+2967)</f>
        <v>-4700</v>
      </c>
      <c r="I76" s="49">
        <f>-(1600*3+500)</f>
        <v>-5300</v>
      </c>
      <c r="J76" s="49"/>
      <c r="K76" s="90">
        <f>G76/6*9</f>
        <v>-4612.5</v>
      </c>
      <c r="L76" s="42">
        <f>-(1108+625+625)-5650+8</f>
        <v>-8000</v>
      </c>
      <c r="M76" s="49"/>
      <c r="N76" s="99"/>
    </row>
    <row r="77" spans="1:14" x14ac:dyDescent="0.25">
      <c r="E77" s="73"/>
      <c r="F77" s="42"/>
      <c r="G77" s="90"/>
      <c r="H77" s="42"/>
      <c r="I77" s="42"/>
      <c r="J77" s="42"/>
      <c r="K77" s="90"/>
      <c r="L77" s="42"/>
      <c r="M77" s="42"/>
    </row>
    <row r="78" spans="1:14" x14ac:dyDescent="0.25">
      <c r="D78" s="46" t="s">
        <v>178</v>
      </c>
      <c r="E78" s="73"/>
      <c r="F78" s="42"/>
      <c r="G78" s="90"/>
      <c r="H78" s="58">
        <v>-4300</v>
      </c>
      <c r="I78" s="58">
        <v>-4300</v>
      </c>
      <c r="J78" s="42"/>
      <c r="K78" s="90"/>
      <c r="L78" s="58">
        <v>-4303</v>
      </c>
      <c r="M78" s="42"/>
    </row>
    <row r="79" spans="1:14" x14ac:dyDescent="0.25">
      <c r="D79" s="46" t="s">
        <v>179</v>
      </c>
      <c r="E79" s="73"/>
      <c r="F79" s="42"/>
      <c r="G79" s="90"/>
      <c r="H79" s="42"/>
      <c r="I79" s="42"/>
      <c r="J79" s="42"/>
      <c r="K79" s="90"/>
      <c r="L79" s="76">
        <v>-5000</v>
      </c>
      <c r="M79" s="42"/>
    </row>
    <row r="80" spans="1:14" x14ac:dyDescent="0.25">
      <c r="D80" s="46" t="s">
        <v>180</v>
      </c>
      <c r="E80" s="73"/>
      <c r="F80" s="42"/>
      <c r="G80" s="90"/>
      <c r="H80" s="42"/>
      <c r="I80" s="42"/>
      <c r="J80" s="42"/>
      <c r="K80" s="90"/>
      <c r="L80" s="58">
        <f>-541.2*2</f>
        <v>-1082.4000000000001</v>
      </c>
      <c r="M80" s="42"/>
    </row>
    <row r="81" spans="3:14" x14ac:dyDescent="0.25">
      <c r="C81" s="45" t="s">
        <v>144</v>
      </c>
      <c r="E81" s="73"/>
      <c r="F81" s="42"/>
      <c r="G81" s="90">
        <v>-5051</v>
      </c>
      <c r="H81" s="42">
        <f>SUM(H78:H80)</f>
        <v>-4300</v>
      </c>
      <c r="I81" s="42">
        <f>SUM(I78:I80)</f>
        <v>-4300</v>
      </c>
      <c r="J81" s="42"/>
      <c r="K81" s="90">
        <f>G81/6*9</f>
        <v>-7576.5</v>
      </c>
      <c r="L81" s="42">
        <f>SUM(L78:L80)</f>
        <v>-10385.4</v>
      </c>
      <c r="M81" s="42"/>
      <c r="N81" s="99"/>
    </row>
    <row r="82" spans="3:14" x14ac:dyDescent="0.25">
      <c r="E82" s="73"/>
      <c r="F82" s="42"/>
      <c r="G82" s="90"/>
      <c r="H82" s="42"/>
      <c r="I82" s="42"/>
      <c r="J82" s="42"/>
      <c r="K82" s="90"/>
      <c r="L82" s="42"/>
      <c r="M82" s="42"/>
    </row>
    <row r="83" spans="3:14" x14ac:dyDescent="0.25">
      <c r="E83" s="73"/>
      <c r="F83" s="42"/>
      <c r="G83" s="90"/>
      <c r="H83" s="42"/>
      <c r="I83" s="42"/>
      <c r="J83" s="42"/>
      <c r="K83" s="90"/>
      <c r="L83" s="42"/>
      <c r="M83" s="42"/>
    </row>
    <row r="85" spans="3:14" ht="15.75" x14ac:dyDescent="0.25">
      <c r="C85" s="59" t="s">
        <v>154</v>
      </c>
      <c r="F85" s="75"/>
      <c r="G85" s="91">
        <f>G16+G20+G22+G31+G33+G35+G41+G43+G52+G54+G59+G64+G70+G72+G74+G76+G81</f>
        <v>30920</v>
      </c>
      <c r="H85" s="75">
        <f>H16+H20+H22+H31+H33+H35+H41+H43+H52+H54+H59+H64+H70+H72+H74+H76+H81</f>
        <v>-65832.094999999899</v>
      </c>
      <c r="I85" s="75">
        <f>I16+I20+I22+I31+I33+I35+I41+I43+I52+I54+I59+I64+I70+I72+I74+I76+I81</f>
        <v>-190001.3949999999</v>
      </c>
      <c r="J85" s="75"/>
      <c r="K85" s="91">
        <f>K16+K20+K22+K31+K33+K35+K41+K43+K52+K54+K59+K64+K70+K72+K74+K76+K81</f>
        <v>46380</v>
      </c>
      <c r="L85" s="75">
        <f>L16+L20+L22+L31+L33+L35+L41+L43+L52+L54+L59+L64+L70+L72+L74+L76+L81</f>
        <v>34256.717500000108</v>
      </c>
      <c r="M85" s="75"/>
    </row>
    <row r="86" spans="3:14" x14ac:dyDescent="0.25">
      <c r="L86" s="81"/>
    </row>
    <row r="119" spans="1:1" x14ac:dyDescent="0.25">
      <c r="A119" s="60"/>
    </row>
    <row r="128" spans="1:1" x14ac:dyDescent="0.25">
      <c r="A128" s="60"/>
    </row>
    <row r="131" spans="1:1" x14ac:dyDescent="0.25">
      <c r="A131" s="60"/>
    </row>
    <row r="132" spans="1:1" x14ac:dyDescent="0.25">
      <c r="A132" s="60"/>
    </row>
    <row r="148" spans="2:2" x14ac:dyDescent="0.25">
      <c r="B148" s="45"/>
    </row>
    <row r="149" spans="2:2" x14ac:dyDescent="0.25">
      <c r="B149" s="45"/>
    </row>
    <row r="150" spans="2:2" ht="15.75" x14ac:dyDescent="0.25">
      <c r="B150" s="59"/>
    </row>
    <row r="151" spans="2:2" x14ac:dyDescent="0.25">
      <c r="B151" s="45"/>
    </row>
    <row r="152" spans="2:2" x14ac:dyDescent="0.25">
      <c r="B152" s="57"/>
    </row>
    <row r="163" spans="1:5" x14ac:dyDescent="0.25">
      <c r="D163" s="57"/>
      <c r="E163" s="69"/>
    </row>
    <row r="165" spans="1:5" x14ac:dyDescent="0.25">
      <c r="B165" s="45"/>
    </row>
    <row r="166" spans="1:5" x14ac:dyDescent="0.25">
      <c r="B166" s="45"/>
    </row>
    <row r="167" spans="1:5" ht="15.75" x14ac:dyDescent="0.25">
      <c r="A167" s="61"/>
      <c r="B167" s="59"/>
    </row>
    <row r="169" spans="1:5" x14ac:dyDescent="0.25">
      <c r="B169" s="57"/>
    </row>
    <row r="170" spans="1:5" x14ac:dyDescent="0.25">
      <c r="B170" s="57"/>
    </row>
    <row r="181" spans="2:3" x14ac:dyDescent="0.25">
      <c r="B181" s="45"/>
    </row>
    <row r="182" spans="2:3" x14ac:dyDescent="0.25">
      <c r="B182" s="45"/>
    </row>
    <row r="183" spans="2:3" ht="15.75" x14ac:dyDescent="0.25">
      <c r="B183" s="59"/>
    </row>
    <row r="184" spans="2:3" x14ac:dyDescent="0.25">
      <c r="B184" s="45"/>
    </row>
    <row r="185" spans="2:3" x14ac:dyDescent="0.25">
      <c r="B185" s="57"/>
    </row>
    <row r="186" spans="2:3" x14ac:dyDescent="0.25">
      <c r="B186" s="45"/>
    </row>
    <row r="187" spans="2:3" x14ac:dyDescent="0.25">
      <c r="B187" s="45"/>
    </row>
    <row r="188" spans="2:3" x14ac:dyDescent="0.25">
      <c r="B188" s="45"/>
      <c r="C188" s="47"/>
    </row>
    <row r="189" spans="2:3" x14ac:dyDescent="0.25">
      <c r="B189" s="45"/>
      <c r="C189" s="47"/>
    </row>
    <row r="190" spans="2:3" x14ac:dyDescent="0.25">
      <c r="B190" s="45"/>
      <c r="C190" s="47"/>
    </row>
    <row r="191" spans="2:3" x14ac:dyDescent="0.25">
      <c r="B191" s="45"/>
      <c r="C191" s="47"/>
    </row>
    <row r="192" spans="2:3" x14ac:dyDescent="0.25">
      <c r="B192" s="45"/>
    </row>
    <row r="194" spans="1:5" x14ac:dyDescent="0.25">
      <c r="B194" s="45"/>
      <c r="C194" s="47"/>
      <c r="D194" s="47"/>
      <c r="E194" s="60"/>
    </row>
    <row r="195" spans="1:5" x14ac:dyDescent="0.25">
      <c r="B195" s="45"/>
    </row>
    <row r="196" spans="1:5" x14ac:dyDescent="0.25">
      <c r="B196" s="45"/>
    </row>
    <row r="197" spans="1:5" ht="15.75" x14ac:dyDescent="0.25">
      <c r="B197" s="59"/>
    </row>
    <row r="198" spans="1:5" x14ac:dyDescent="0.25">
      <c r="B198" s="45"/>
    </row>
    <row r="199" spans="1:5" x14ac:dyDescent="0.25">
      <c r="B199" s="57"/>
    </row>
    <row r="202" spans="1:5" x14ac:dyDescent="0.25">
      <c r="A202" s="62"/>
    </row>
    <row r="203" spans="1:5" x14ac:dyDescent="0.25">
      <c r="A203" s="62"/>
    </row>
    <row r="204" spans="1:5" x14ac:dyDescent="0.25">
      <c r="B204" s="45"/>
    </row>
    <row r="205" spans="1:5" x14ac:dyDescent="0.25">
      <c r="B205" s="45"/>
    </row>
    <row r="206" spans="1:5" x14ac:dyDescent="0.25">
      <c r="D206" s="47"/>
      <c r="E206" s="60"/>
    </row>
    <row r="207" spans="1:5" ht="15.75" x14ac:dyDescent="0.25">
      <c r="B207" s="59"/>
    </row>
    <row r="208" spans="1:5" ht="15.75" x14ac:dyDescent="0.25">
      <c r="B208" s="59"/>
    </row>
    <row r="209" spans="1:5" ht="15.75" x14ac:dyDescent="0.25">
      <c r="B209" s="59"/>
    </row>
    <row r="210" spans="1:5" ht="15.75" x14ac:dyDescent="0.25">
      <c r="A210" s="63"/>
      <c r="B210" s="59"/>
      <c r="C210" s="59"/>
      <c r="D210" s="64"/>
      <c r="E210" s="70"/>
    </row>
    <row r="211" spans="1:5" ht="15.75" x14ac:dyDescent="0.25">
      <c r="B211" s="59"/>
    </row>
    <row r="212" spans="1:5" ht="15.75" x14ac:dyDescent="0.25">
      <c r="B212" s="59"/>
    </row>
    <row r="213" spans="1:5" ht="15.75" x14ac:dyDescent="0.25">
      <c r="B213" s="59"/>
    </row>
    <row r="217" spans="1:5" ht="15.75" x14ac:dyDescent="0.25">
      <c r="A217" s="65"/>
      <c r="B217" s="65"/>
      <c r="C217" s="65"/>
      <c r="D217" s="65"/>
      <c r="E217" s="71"/>
    </row>
    <row r="225" spans="4:5" x14ac:dyDescent="0.25">
      <c r="D225" s="66"/>
      <c r="E225" s="72"/>
    </row>
    <row r="226" spans="4:5" x14ac:dyDescent="0.25">
      <c r="D226" s="66"/>
      <c r="E226" s="72"/>
    </row>
    <row r="227" spans="4:5" x14ac:dyDescent="0.25">
      <c r="D227" s="66"/>
      <c r="E227" s="72"/>
    </row>
    <row r="228" spans="4:5" x14ac:dyDescent="0.25">
      <c r="D228" s="66"/>
      <c r="E228" s="72"/>
    </row>
  </sheetData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% du CA</vt:lpstr>
      <vt:lpstr>PP 2018-2023</vt:lpstr>
      <vt:lpstr>Flux</vt:lpstr>
      <vt:lpstr>'PP 2018-2023'!Impression_des_titres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Schmid</dc:creator>
  <cp:lastModifiedBy>Sandra Schmid</cp:lastModifiedBy>
  <cp:lastPrinted>2024-04-04T13:45:44Z</cp:lastPrinted>
  <dcterms:created xsi:type="dcterms:W3CDTF">2020-02-21T08:30:57Z</dcterms:created>
  <dcterms:modified xsi:type="dcterms:W3CDTF">2024-08-27T12:22:15Z</dcterms:modified>
</cp:coreProperties>
</file>