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chat\Fournisseurs\"/>
    </mc:Choice>
  </mc:AlternateContent>
  <xr:revisionPtr revIDLastSave="0" documentId="13_ncr:1_{430588D9-5C42-4969-A1D5-E75736006723}" xr6:coauthVersionLast="47" xr6:coauthVersionMax="47" xr10:uidLastSave="{00000000-0000-0000-0000-000000000000}"/>
  <bookViews>
    <workbookView xWindow="-108" yWindow="-108" windowWidth="23256" windowHeight="12600" firstSheet="1" activeTab="2" xr2:uid="{825DAECE-DBFE-44C0-840F-81E84DEE75C4}"/>
  </bookViews>
  <sheets>
    <sheet name="Antares" sheetId="8" r:id="rId1"/>
    <sheet name="Cocoon &amp; Deka" sheetId="4" r:id="rId2"/>
    <sheet name="Ceha" sheetId="19" r:id="rId3"/>
    <sheet name="Flokk" sheetId="1" r:id="rId4"/>
    <sheet name="Mades" sheetId="5" r:id="rId5"/>
    <sheet name="Mobika" sheetId="16" r:id="rId6"/>
    <sheet name="Narbutas" sheetId="7" r:id="rId7"/>
    <sheet name="Chassis électrique" sheetId="18" r:id="rId8"/>
    <sheet name="Plateaux" sheetId="11" r:id="rId9"/>
    <sheet name="Nowy Stly - Chaises" sheetId="3" r:id="rId10"/>
    <sheet name="Narbutas - Tables combinées" sheetId="15" r:id="rId11"/>
    <sheet name="Divers" sheetId="10" r:id="rId12"/>
    <sheet name="Vestar" sheetId="21" r:id="rId13"/>
    <sheet name="353G-Giroflex" sheetId="20" r:id="rId14"/>
    <sheet name="INFO SALES" sheetId="12" r:id="rId15"/>
  </sheets>
  <definedNames>
    <definedName name="_xlnm.Print_Area" localSheetId="4">Mades!$A$1:$T$89</definedName>
    <definedName name="_xlnm.Print_Area" localSheetId="6">Narbutas!$A$1:$U$42</definedName>
    <definedName name="_xlnm.Print_Area" localSheetId="9">'Nowy Stly - Chaises'!$A$1:$Z$51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5" i="5" l="1"/>
  <c r="D105" i="5"/>
  <c r="N105" i="5" s="1"/>
  <c r="N103" i="5"/>
  <c r="Q103" i="5" s="1"/>
  <c r="S103" i="5" s="1"/>
  <c r="M103" i="5"/>
  <c r="D103" i="5"/>
  <c r="M101" i="5"/>
  <c r="N101" i="5"/>
  <c r="Q101" i="5" s="1"/>
  <c r="S101" i="5" s="1"/>
  <c r="D101" i="5"/>
  <c r="N12" i="16"/>
  <c r="M12" i="16"/>
  <c r="I16" i="11"/>
  <c r="J16" i="11"/>
  <c r="K16" i="11"/>
  <c r="K19" i="11"/>
  <c r="J19" i="11"/>
  <c r="I19" i="11"/>
  <c r="H19" i="11"/>
  <c r="G19" i="11"/>
  <c r="G16" i="11"/>
  <c r="D99" i="5"/>
  <c r="J97" i="5"/>
  <c r="D96" i="5"/>
  <c r="D97" i="5" s="1"/>
  <c r="S9" i="8"/>
  <c r="N9" i="8"/>
  <c r="M9" i="8"/>
  <c r="N16" i="18"/>
  <c r="P16" i="18" s="1"/>
  <c r="Q16" i="18"/>
  <c r="N8" i="18"/>
  <c r="P8" i="18"/>
  <c r="Q8" i="18"/>
  <c r="D6" i="18"/>
  <c r="P105" i="5" l="1"/>
  <c r="Q105" i="5"/>
  <c r="P103" i="5"/>
  <c r="P101" i="5"/>
  <c r="R35" i="10"/>
  <c r="Q35" i="10"/>
  <c r="O35" i="10"/>
  <c r="N35" i="10"/>
  <c r="P9" i="19"/>
  <c r="V18" i="3"/>
  <c r="V32" i="3"/>
  <c r="S9" i="1"/>
  <c r="S7" i="1"/>
  <c r="Q9" i="1"/>
  <c r="P9" i="1"/>
  <c r="N9" i="1"/>
  <c r="N7" i="1"/>
  <c r="M9" i="1"/>
  <c r="M7" i="1"/>
  <c r="D9" i="1"/>
  <c r="G12" i="11"/>
  <c r="M90" i="5"/>
  <c r="D90" i="5"/>
  <c r="N90" i="5" s="1"/>
  <c r="P90" i="5" s="1"/>
  <c r="M92" i="5"/>
  <c r="D92" i="5"/>
  <c r="N92" i="5" s="1"/>
  <c r="S23" i="18"/>
  <c r="Q23" i="18"/>
  <c r="P23" i="18"/>
  <c r="N23" i="18"/>
  <c r="M23" i="18"/>
  <c r="D21" i="18"/>
  <c r="H23" i="18"/>
  <c r="G23" i="18"/>
  <c r="F23" i="18"/>
  <c r="E23" i="18"/>
  <c r="D23" i="18"/>
  <c r="K23" i="18"/>
  <c r="J23" i="18"/>
  <c r="D8" i="18"/>
  <c r="E6" i="18"/>
  <c r="P32" i="3"/>
  <c r="G29" i="3"/>
  <c r="P27" i="3"/>
  <c r="R27" i="3"/>
  <c r="G27" i="3"/>
  <c r="G15" i="3"/>
  <c r="P50" i="3"/>
  <c r="R50" i="3"/>
  <c r="V50" i="3"/>
  <c r="G48" i="3"/>
  <c r="J9" i="8"/>
  <c r="O68" i="10"/>
  <c r="N68" i="10"/>
  <c r="L68" i="10"/>
  <c r="K68" i="10"/>
  <c r="F68" i="10"/>
  <c r="I68" i="10"/>
  <c r="H68" i="10"/>
  <c r="G68" i="10"/>
  <c r="W11" i="21"/>
  <c r="U11" i="21"/>
  <c r="T11" i="21"/>
  <c r="R11" i="21"/>
  <c r="Q11" i="21"/>
  <c r="N11" i="21"/>
  <c r="H11" i="21"/>
  <c r="S31" i="7"/>
  <c r="Q31" i="7"/>
  <c r="P31" i="7"/>
  <c r="N31" i="7"/>
  <c r="M31" i="7"/>
  <c r="D31" i="7"/>
  <c r="S9" i="19"/>
  <c r="Q9" i="19"/>
  <c r="N9" i="19"/>
  <c r="M9" i="19"/>
  <c r="D8" i="19"/>
  <c r="Q17" i="16"/>
  <c r="P17" i="16"/>
  <c r="N17" i="16"/>
  <c r="M17" i="16"/>
  <c r="D17" i="16"/>
  <c r="G49" i="3"/>
  <c r="P45" i="3"/>
  <c r="P39" i="3"/>
  <c r="P37" i="3"/>
  <c r="O37" i="3"/>
  <c r="M37" i="3"/>
  <c r="T32" i="3"/>
  <c r="O32" i="3"/>
  <c r="P18" i="3"/>
  <c r="R18" i="3" s="1"/>
  <c r="P7" i="3"/>
  <c r="P12" i="3"/>
  <c r="R12" i="3"/>
  <c r="M12" i="3"/>
  <c r="T7" i="3"/>
  <c r="S7" i="3"/>
  <c r="R7" i="3"/>
  <c r="V7" i="3" s="1"/>
  <c r="E9" i="8"/>
  <c r="D9" i="8"/>
  <c r="P9" i="8" s="1"/>
  <c r="M88" i="5"/>
  <c r="D88" i="5"/>
  <c r="N88" i="5" s="1"/>
  <c r="M84" i="5"/>
  <c r="D84" i="5"/>
  <c r="N84" i="5" s="1"/>
  <c r="T21" i="10"/>
  <c r="Q21" i="10"/>
  <c r="O21" i="10"/>
  <c r="N21" i="10"/>
  <c r="E21" i="10"/>
  <c r="K78" i="5"/>
  <c r="J78" i="5"/>
  <c r="H78" i="5"/>
  <c r="G78" i="5"/>
  <c r="F78" i="5"/>
  <c r="E78" i="5"/>
  <c r="AL6" i="4"/>
  <c r="AM6" i="4"/>
  <c r="AG7" i="4"/>
  <c r="AL7" i="4" s="1"/>
  <c r="AH7" i="4"/>
  <c r="AH6" i="4"/>
  <c r="AG6" i="4"/>
  <c r="W21" i="21"/>
  <c r="U21" i="21"/>
  <c r="T21" i="21"/>
  <c r="U16" i="21"/>
  <c r="T16" i="21"/>
  <c r="R21" i="21"/>
  <c r="H21" i="21"/>
  <c r="I21" i="21"/>
  <c r="Q21" i="21"/>
  <c r="O21" i="21"/>
  <c r="N21" i="21"/>
  <c r="L21" i="21"/>
  <c r="K21" i="21"/>
  <c r="J21" i="21"/>
  <c r="H19" i="21"/>
  <c r="N27" i="7"/>
  <c r="Q27" i="7" s="1"/>
  <c r="M27" i="7"/>
  <c r="N80" i="5"/>
  <c r="M80" i="5"/>
  <c r="D82" i="5"/>
  <c r="N77" i="5"/>
  <c r="Q77" i="5" s="1"/>
  <c r="S77" i="5" s="1"/>
  <c r="M77" i="5"/>
  <c r="D76" i="5"/>
  <c r="D78" i="5" s="1"/>
  <c r="N63" i="5"/>
  <c r="N71" i="5"/>
  <c r="N73" i="5"/>
  <c r="P73" i="5" s="1"/>
  <c r="M73" i="5"/>
  <c r="E69" i="5"/>
  <c r="D16" i="18"/>
  <c r="D12" i="18"/>
  <c r="N12" i="18" s="1"/>
  <c r="O50" i="3"/>
  <c r="M50" i="3"/>
  <c r="G50" i="3"/>
  <c r="M45" i="3"/>
  <c r="O45" i="3"/>
  <c r="G45" i="3"/>
  <c r="O39" i="3"/>
  <c r="T37" i="3"/>
  <c r="S37" i="3"/>
  <c r="R37" i="3"/>
  <c r="G37" i="3"/>
  <c r="O27" i="3"/>
  <c r="T25" i="3"/>
  <c r="S25" i="3"/>
  <c r="R25" i="3"/>
  <c r="P25" i="3"/>
  <c r="O25" i="3"/>
  <c r="M25" i="3"/>
  <c r="G25" i="3"/>
  <c r="O12" i="3"/>
  <c r="G12" i="3"/>
  <c r="H7" i="3"/>
  <c r="G7" i="3"/>
  <c r="G32" i="3"/>
  <c r="M18" i="3"/>
  <c r="G18" i="3"/>
  <c r="N25" i="7"/>
  <c r="P25" i="7" s="1"/>
  <c r="M25" i="7"/>
  <c r="M23" i="7"/>
  <c r="G29" i="11"/>
  <c r="G24" i="11"/>
  <c r="P24" i="11"/>
  <c r="O24" i="11"/>
  <c r="N50" i="5"/>
  <c r="P50" i="5" s="1"/>
  <c r="M50" i="5"/>
  <c r="N48" i="5"/>
  <c r="P48" i="5" s="1"/>
  <c r="M48" i="5"/>
  <c r="M71" i="5"/>
  <c r="N45" i="5"/>
  <c r="Q45" i="5" s="1"/>
  <c r="S45" i="5" s="1"/>
  <c r="M45" i="5"/>
  <c r="M43" i="5"/>
  <c r="D43" i="5"/>
  <c r="N43" i="5" s="1"/>
  <c r="Q43" i="5" s="1"/>
  <c r="S43" i="5" s="1"/>
  <c r="E99" i="5"/>
  <c r="Q92" i="5" l="1"/>
  <c r="S92" i="5" s="1"/>
  <c r="P92" i="5"/>
  <c r="P12" i="18"/>
  <c r="Q12" i="18"/>
  <c r="Q90" i="5"/>
  <c r="S90" i="5" s="1"/>
  <c r="R32" i="3"/>
  <c r="S32" i="3"/>
  <c r="V27" i="3"/>
  <c r="S27" i="7"/>
  <c r="P27" i="7"/>
  <c r="Q25" i="7"/>
  <c r="S25" i="7" s="1"/>
  <c r="S50" i="3"/>
  <c r="V12" i="3"/>
  <c r="T12" i="3"/>
  <c r="S12" i="3"/>
  <c r="Q88" i="5"/>
  <c r="S88" i="5" s="1"/>
  <c r="P88" i="5"/>
  <c r="M78" i="5"/>
  <c r="N78" i="5"/>
  <c r="AM7" i="4"/>
  <c r="P77" i="5"/>
  <c r="Q73" i="5"/>
  <c r="S73" i="5" s="1"/>
  <c r="Q50" i="5"/>
  <c r="S50" i="5" s="1"/>
  <c r="P45" i="5"/>
  <c r="P43" i="5"/>
  <c r="N55" i="5"/>
  <c r="Q55" i="5" s="1"/>
  <c r="S55" i="5" s="1"/>
  <c r="M55" i="5"/>
  <c r="P71" i="5"/>
  <c r="K67" i="5"/>
  <c r="J67" i="5"/>
  <c r="H67" i="5"/>
  <c r="G67" i="5"/>
  <c r="F67" i="5"/>
  <c r="E67" i="5"/>
  <c r="D67" i="5"/>
  <c r="AQ6" i="4" l="1"/>
  <c r="AP6" i="4"/>
  <c r="AO6" i="4"/>
  <c r="Q78" i="5"/>
  <c r="S78" i="5" s="1"/>
  <c r="P78" i="5"/>
  <c r="N67" i="5"/>
  <c r="Q67" i="5" s="1"/>
  <c r="S67" i="5" s="1"/>
  <c r="P55" i="5"/>
  <c r="Q71" i="5"/>
  <c r="S71" i="5" s="1"/>
  <c r="M67" i="5"/>
  <c r="N52" i="5"/>
  <c r="M52" i="5"/>
  <c r="J9" i="19"/>
  <c r="D9" i="19"/>
  <c r="N23" i="7"/>
  <c r="Q23" i="7" s="1"/>
  <c r="S23" i="7" s="1"/>
  <c r="D21" i="7"/>
  <c r="S105" i="5"/>
  <c r="P63" i="5"/>
  <c r="M63" i="5"/>
  <c r="K97" i="5"/>
  <c r="H97" i="5"/>
  <c r="G97" i="5"/>
  <c r="F97" i="5"/>
  <c r="E97" i="5"/>
  <c r="M57" i="5"/>
  <c r="K59" i="5"/>
  <c r="J59" i="5"/>
  <c r="H59" i="5"/>
  <c r="G59" i="5"/>
  <c r="F59" i="5"/>
  <c r="E59" i="5"/>
  <c r="D59" i="5"/>
  <c r="N57" i="5"/>
  <c r="P57" i="5" s="1"/>
  <c r="J12" i="18"/>
  <c r="N11" i="19"/>
  <c r="M15" i="19"/>
  <c r="M13" i="19"/>
  <c r="M12" i="19"/>
  <c r="M11" i="19"/>
  <c r="Q9" i="8"/>
  <c r="E8" i="8"/>
  <c r="O11" i="21"/>
  <c r="L11" i="21"/>
  <c r="K11" i="21"/>
  <c r="J11" i="21"/>
  <c r="I11" i="21"/>
  <c r="K12" i="3"/>
  <c r="J12" i="3"/>
  <c r="I12" i="3"/>
  <c r="M97" i="5" l="1"/>
  <c r="N97" i="5"/>
  <c r="Q63" i="5"/>
  <c r="S63" i="5" s="1"/>
  <c r="P67" i="5"/>
  <c r="P23" i="7"/>
  <c r="M59" i="5"/>
  <c r="Q57" i="5"/>
  <c r="S57" i="5" s="1"/>
  <c r="N59" i="5"/>
  <c r="Q59" i="5" s="1"/>
  <c r="S59" i="5" s="1"/>
  <c r="P97" i="5" l="1"/>
  <c r="Q97" i="5"/>
  <c r="S97" i="5" s="1"/>
  <c r="P59" i="5"/>
  <c r="L54" i="10"/>
  <c r="K54" i="10"/>
  <c r="I54" i="10"/>
  <c r="H54" i="10"/>
  <c r="G54" i="10"/>
  <c r="F52" i="10"/>
  <c r="F54" i="10" s="1"/>
  <c r="E7" i="19"/>
  <c r="E9" i="19" s="1"/>
  <c r="E40" i="5"/>
  <c r="N40" i="5" s="1"/>
  <c r="N17" i="7"/>
  <c r="Q17" i="7" s="1"/>
  <c r="S17" i="7" s="1"/>
  <c r="M17" i="7"/>
  <c r="N54" i="10" l="1"/>
  <c r="O54" i="10"/>
  <c r="R54" i="10" s="1"/>
  <c r="T54" i="10" s="1"/>
  <c r="P17" i="7"/>
  <c r="Q40" i="5"/>
  <c r="S40" i="5" s="1"/>
  <c r="P40" i="5"/>
  <c r="H12" i="11"/>
  <c r="H14" i="11"/>
  <c r="H16" i="11" s="1"/>
  <c r="T39" i="3"/>
  <c r="X39" i="3" s="1"/>
  <c r="S39" i="3"/>
  <c r="W39" i="3" s="1"/>
  <c r="H36" i="3"/>
  <c r="H10" i="3"/>
  <c r="H12" i="3" s="1"/>
  <c r="P52" i="5"/>
  <c r="E39" i="5"/>
  <c r="N39" i="5" s="1"/>
  <c r="E19" i="18"/>
  <c r="L47" i="10"/>
  <c r="K47" i="10"/>
  <c r="I47" i="10"/>
  <c r="H47" i="10"/>
  <c r="G47" i="10"/>
  <c r="F47" i="10"/>
  <c r="F43" i="10"/>
  <c r="L41" i="10"/>
  <c r="K41" i="10"/>
  <c r="I41" i="10"/>
  <c r="H41" i="10"/>
  <c r="G41" i="10"/>
  <c r="F41" i="10"/>
  <c r="L35" i="10"/>
  <c r="K35" i="10"/>
  <c r="I35" i="10"/>
  <c r="H35" i="10"/>
  <c r="G35" i="10"/>
  <c r="F35" i="10"/>
  <c r="M38" i="5"/>
  <c r="E38" i="5"/>
  <c r="N38" i="5" s="1"/>
  <c r="M39" i="5"/>
  <c r="N37" i="5"/>
  <c r="Q37" i="5" s="1"/>
  <c r="M37" i="5"/>
  <c r="E36" i="5"/>
  <c r="N36" i="5" s="1"/>
  <c r="Q36" i="5" s="1"/>
  <c r="E31" i="5"/>
  <c r="F16" i="18"/>
  <c r="E14" i="18"/>
  <c r="E16" i="18" s="1"/>
  <c r="E12" i="18"/>
  <c r="J8" i="18"/>
  <c r="AO7" i="4"/>
  <c r="E34" i="5"/>
  <c r="N34" i="5" s="1"/>
  <c r="Q34" i="5" s="1"/>
  <c r="S34" i="5" s="1"/>
  <c r="H45" i="3"/>
  <c r="M33" i="5"/>
  <c r="E33" i="5"/>
  <c r="N33" i="5" s="1"/>
  <c r="P33" i="5" s="1"/>
  <c r="M36" i="5"/>
  <c r="K25" i="3"/>
  <c r="J25" i="3"/>
  <c r="I25" i="3"/>
  <c r="H25" i="3"/>
  <c r="R29" i="15"/>
  <c r="P29" i="15"/>
  <c r="O29" i="15"/>
  <c r="M29" i="15"/>
  <c r="L29" i="15"/>
  <c r="E21" i="7"/>
  <c r="M21" i="7" s="1"/>
  <c r="J29" i="15"/>
  <c r="I29" i="15"/>
  <c r="G29" i="15"/>
  <c r="F29" i="15"/>
  <c r="E29" i="15"/>
  <c r="D29" i="15"/>
  <c r="D28" i="15"/>
  <c r="D17" i="15"/>
  <c r="L64" i="10"/>
  <c r="K64" i="10"/>
  <c r="I64" i="10"/>
  <c r="H64" i="10"/>
  <c r="G64" i="10"/>
  <c r="F64" i="10"/>
  <c r="Q48" i="5"/>
  <c r="S48" i="5" s="1"/>
  <c r="M32" i="5"/>
  <c r="E32" i="5"/>
  <c r="N32" i="5" s="1"/>
  <c r="E30" i="5"/>
  <c r="K12" i="18"/>
  <c r="E7" i="18"/>
  <c r="K8" i="18"/>
  <c r="H8" i="18"/>
  <c r="G8" i="18"/>
  <c r="F8" i="18"/>
  <c r="N7" i="16"/>
  <c r="M7" i="16"/>
  <c r="E29" i="5"/>
  <c r="N29" i="5" s="1"/>
  <c r="Q29" i="5" s="1"/>
  <c r="S29" i="5" s="1"/>
  <c r="H29" i="3"/>
  <c r="E15" i="7"/>
  <c r="E82" i="5"/>
  <c r="E27" i="5"/>
  <c r="N27" i="5" s="1"/>
  <c r="Q27" i="5" s="1"/>
  <c r="S27" i="5" s="1"/>
  <c r="M29" i="5"/>
  <c r="M34" i="5"/>
  <c r="M82" i="5" l="1"/>
  <c r="N82" i="5"/>
  <c r="P82" i="5" s="1"/>
  <c r="T27" i="3"/>
  <c r="X27" i="3" s="1"/>
  <c r="X25" i="3"/>
  <c r="S27" i="3"/>
  <c r="W27" i="3" s="1"/>
  <c r="N21" i="7"/>
  <c r="Q54" i="10"/>
  <c r="R39" i="3"/>
  <c r="V39" i="3" s="1"/>
  <c r="P38" i="5"/>
  <c r="Q38" i="5"/>
  <c r="N47" i="10"/>
  <c r="O47" i="10" s="1"/>
  <c r="T35" i="10"/>
  <c r="N41" i="10"/>
  <c r="O41" i="10" s="1"/>
  <c r="Q39" i="5"/>
  <c r="S39" i="5" s="1"/>
  <c r="P39" i="5"/>
  <c r="P37" i="5"/>
  <c r="P36" i="5"/>
  <c r="E8" i="18"/>
  <c r="P34" i="5"/>
  <c r="S36" i="5"/>
  <c r="Q52" i="5"/>
  <c r="S52" i="5" s="1"/>
  <c r="Q32" i="5"/>
  <c r="S32" i="5" s="1"/>
  <c r="P32" i="5"/>
  <c r="N64" i="10"/>
  <c r="O64" i="10" s="1"/>
  <c r="P29" i="5"/>
  <c r="S8" i="18" l="1"/>
  <c r="Q21" i="7"/>
  <c r="S21" i="7" s="1"/>
  <c r="P21" i="7"/>
  <c r="V25" i="3"/>
  <c r="W25" i="3"/>
  <c r="N28" i="5"/>
  <c r="Q28" i="5" s="1"/>
  <c r="S28" i="5" s="1"/>
  <c r="M28" i="5"/>
  <c r="P28" i="5" s="1"/>
  <c r="N15" i="7"/>
  <c r="Q15" i="7" s="1"/>
  <c r="M15" i="7"/>
  <c r="H35" i="3"/>
  <c r="H37" i="3" s="1"/>
  <c r="K15" i="19"/>
  <c r="J15" i="19"/>
  <c r="F15" i="19"/>
  <c r="E15" i="19"/>
  <c r="K13" i="19"/>
  <c r="J13" i="19"/>
  <c r="N14" i="16"/>
  <c r="P14" i="16" s="1"/>
  <c r="M14" i="16"/>
  <c r="K9" i="19"/>
  <c r="R14" i="21"/>
  <c r="T14" i="21" s="1"/>
  <c r="U14" i="21" s="1"/>
  <c r="W14" i="21" s="1"/>
  <c r="Q14" i="21"/>
  <c r="I16" i="21"/>
  <c r="O16" i="21"/>
  <c r="N16" i="21"/>
  <c r="L16" i="21"/>
  <c r="K16" i="21"/>
  <c r="J16" i="21"/>
  <c r="K45" i="3"/>
  <c r="J45" i="3"/>
  <c r="I45" i="3"/>
  <c r="F21" i="10"/>
  <c r="F9" i="10"/>
  <c r="O9" i="10" s="1"/>
  <c r="N26" i="5"/>
  <c r="Q26" i="5" s="1"/>
  <c r="F24" i="10"/>
  <c r="K29" i="11"/>
  <c r="J29" i="11"/>
  <c r="I29" i="11"/>
  <c r="K24" i="11"/>
  <c r="J24" i="11"/>
  <c r="I24" i="11"/>
  <c r="M16" i="5"/>
  <c r="U16" i="19"/>
  <c r="K20" i="7"/>
  <c r="J20" i="7"/>
  <c r="H20" i="7"/>
  <c r="G20" i="7"/>
  <c r="F20" i="7"/>
  <c r="E18" i="7"/>
  <c r="E20" i="7" s="1"/>
  <c r="N12" i="7"/>
  <c r="Q12" i="7" s="1"/>
  <c r="M12" i="7"/>
  <c r="H13" i="19"/>
  <c r="H15" i="19" s="1"/>
  <c r="G13" i="19"/>
  <c r="G15" i="19" s="1"/>
  <c r="F13" i="19"/>
  <c r="N13" i="19" s="1"/>
  <c r="E13" i="19"/>
  <c r="N30" i="5"/>
  <c r="Q12" i="16"/>
  <c r="P12" i="16"/>
  <c r="P7" i="16"/>
  <c r="N22" i="5"/>
  <c r="Q22" i="5" s="1"/>
  <c r="S22" i="5" s="1"/>
  <c r="M22" i="5"/>
  <c r="N20" i="5"/>
  <c r="Q20" i="5" s="1"/>
  <c r="S20" i="5" s="1"/>
  <c r="M20" i="5"/>
  <c r="Q80" i="5"/>
  <c r="S80" i="5" s="1"/>
  <c r="E16" i="5"/>
  <c r="N16" i="5" s="1"/>
  <c r="Q33" i="5"/>
  <c r="S33" i="5" s="1"/>
  <c r="N14" i="5"/>
  <c r="M14" i="5"/>
  <c r="N15" i="5"/>
  <c r="Q15" i="5" s="1"/>
  <c r="S15" i="5" s="1"/>
  <c r="M15" i="5"/>
  <c r="M30" i="5"/>
  <c r="N10" i="20"/>
  <c r="L10" i="20"/>
  <c r="M27" i="5"/>
  <c r="S38" i="5"/>
  <c r="F99" i="5"/>
  <c r="N50" i="10"/>
  <c r="F50" i="10"/>
  <c r="O50" i="10" s="1"/>
  <c r="R50" i="10" s="1"/>
  <c r="O10" i="20"/>
  <c r="M10" i="20"/>
  <c r="K10" i="20"/>
  <c r="H10" i="20"/>
  <c r="F10" i="20"/>
  <c r="D10" i="20"/>
  <c r="H7" i="11"/>
  <c r="L58" i="10"/>
  <c r="K58" i="10"/>
  <c r="H58" i="10"/>
  <c r="G58" i="10"/>
  <c r="F58" i="10"/>
  <c r="I58" i="10"/>
  <c r="H18" i="3"/>
  <c r="H12" i="18"/>
  <c r="G12" i="18"/>
  <c r="F12" i="18"/>
  <c r="K16" i="18"/>
  <c r="J16" i="18"/>
  <c r="H16" i="18"/>
  <c r="G16" i="18"/>
  <c r="H9" i="19"/>
  <c r="G9" i="19"/>
  <c r="F9" i="19"/>
  <c r="N12" i="19"/>
  <c r="H50" i="3"/>
  <c r="H32" i="3"/>
  <c r="K50" i="3"/>
  <c r="J50" i="3"/>
  <c r="I50" i="3"/>
  <c r="O29" i="11"/>
  <c r="H23" i="11"/>
  <c r="H24" i="11" s="1"/>
  <c r="P29" i="11"/>
  <c r="H26" i="11"/>
  <c r="H29" i="11" s="1"/>
  <c r="S13" i="11"/>
  <c r="V13" i="11" s="1"/>
  <c r="X13" i="11" s="1"/>
  <c r="R13" i="11"/>
  <c r="E86" i="5"/>
  <c r="M13" i="5"/>
  <c r="E13" i="5"/>
  <c r="N13" i="5" s="1"/>
  <c r="Q13" i="5" s="1"/>
  <c r="S13" i="5" s="1"/>
  <c r="M12" i="5"/>
  <c r="E12" i="5"/>
  <c r="N12" i="5" s="1"/>
  <c r="Q12" i="5" s="1"/>
  <c r="S12" i="5" s="1"/>
  <c r="F69" i="5"/>
  <c r="N69" i="5" s="1"/>
  <c r="M11" i="5"/>
  <c r="E11" i="5"/>
  <c r="N11" i="5" s="1"/>
  <c r="Q11" i="5" s="1"/>
  <c r="S11" i="5" s="1"/>
  <c r="N11" i="7"/>
  <c r="Q11" i="7" s="1"/>
  <c r="S11" i="7" s="1"/>
  <c r="M11" i="7"/>
  <c r="K37" i="3"/>
  <c r="J37" i="3"/>
  <c r="I37" i="3"/>
  <c r="N15" i="10"/>
  <c r="F15" i="10"/>
  <c r="O15" i="10" s="1"/>
  <c r="R15" i="10" s="1"/>
  <c r="T15" i="10" s="1"/>
  <c r="N9" i="10"/>
  <c r="N11" i="10"/>
  <c r="F11" i="10"/>
  <c r="O11" i="10" s="1"/>
  <c r="O13" i="10"/>
  <c r="R13" i="10" s="1"/>
  <c r="T13" i="10" s="1"/>
  <c r="N13" i="10"/>
  <c r="I21" i="10"/>
  <c r="H21" i="10"/>
  <c r="L21" i="10"/>
  <c r="K21" i="10"/>
  <c r="G21" i="10"/>
  <c r="N10" i="5"/>
  <c r="Q10" i="5" s="1"/>
  <c r="S10" i="5" s="1"/>
  <c r="M10" i="5"/>
  <c r="E8" i="12"/>
  <c r="J10" i="16"/>
  <c r="H10" i="16"/>
  <c r="G10" i="16"/>
  <c r="F10" i="16"/>
  <c r="M10" i="16" s="1"/>
  <c r="N9" i="16"/>
  <c r="Q9" i="16" s="1"/>
  <c r="S9" i="16" s="1"/>
  <c r="M9" i="16"/>
  <c r="N8" i="16"/>
  <c r="P8" i="16" s="1"/>
  <c r="M8" i="16"/>
  <c r="N10" i="7"/>
  <c r="Q10" i="7" s="1"/>
  <c r="S10" i="7" s="1"/>
  <c r="M10" i="7"/>
  <c r="M32" i="3"/>
  <c r="K32" i="3"/>
  <c r="J32" i="3"/>
  <c r="I32" i="3"/>
  <c r="K18" i="3"/>
  <c r="J18" i="3"/>
  <c r="I18" i="3"/>
  <c r="M7" i="3"/>
  <c r="K7" i="3"/>
  <c r="J7" i="3"/>
  <c r="I7" i="3"/>
  <c r="N99" i="5" l="1"/>
  <c r="M99" i="5"/>
  <c r="R16" i="11"/>
  <c r="S16" i="11"/>
  <c r="R29" i="11"/>
  <c r="S29" i="11"/>
  <c r="R24" i="11"/>
  <c r="S24" i="11"/>
  <c r="S16" i="18"/>
  <c r="M16" i="18"/>
  <c r="M12" i="18"/>
  <c r="M86" i="5"/>
  <c r="N86" i="5"/>
  <c r="P86" i="5" s="1"/>
  <c r="R21" i="10"/>
  <c r="M76" i="5"/>
  <c r="N76" i="5"/>
  <c r="P76" i="5" s="1"/>
  <c r="M69" i="5"/>
  <c r="O7" i="3"/>
  <c r="O18" i="3"/>
  <c r="P13" i="19"/>
  <c r="Q13" i="19"/>
  <c r="S13" i="19" s="1"/>
  <c r="N15" i="19"/>
  <c r="W50" i="3"/>
  <c r="T50" i="3"/>
  <c r="X50" i="3" s="1"/>
  <c r="O58" i="10"/>
  <c r="Q58" i="10" s="1"/>
  <c r="N58" i="10"/>
  <c r="Q9" i="10"/>
  <c r="R9" i="10"/>
  <c r="Q50" i="10"/>
  <c r="P30" i="5"/>
  <c r="Q30" i="5"/>
  <c r="S30" i="5" s="1"/>
  <c r="Q7" i="16"/>
  <c r="S7" i="16" s="1"/>
  <c r="Q14" i="16"/>
  <c r="AP7" i="4"/>
  <c r="AQ7" i="4"/>
  <c r="Q82" i="5"/>
  <c r="S82" i="5" s="1"/>
  <c r="P15" i="7"/>
  <c r="M20" i="7"/>
  <c r="R16" i="21"/>
  <c r="Q16" i="21"/>
  <c r="P26" i="5"/>
  <c r="S20" i="7"/>
  <c r="N20" i="7"/>
  <c r="Q16" i="5"/>
  <c r="S16" i="5" s="1"/>
  <c r="P16" i="5"/>
  <c r="P12" i="7"/>
  <c r="P22" i="5"/>
  <c r="P80" i="5"/>
  <c r="P20" i="5"/>
  <c r="P27" i="5"/>
  <c r="P15" i="5"/>
  <c r="U13" i="11"/>
  <c r="P13" i="5"/>
  <c r="P12" i="5"/>
  <c r="S26" i="5"/>
  <c r="Q14" i="5"/>
  <c r="S14" i="5" s="1"/>
  <c r="P14" i="5"/>
  <c r="Q15" i="10"/>
  <c r="P11" i="5"/>
  <c r="P11" i="7"/>
  <c r="R11" i="10"/>
  <c r="T11" i="10" s="1"/>
  <c r="Q11" i="10"/>
  <c r="Q13" i="10"/>
  <c r="P10" i="5"/>
  <c r="E10" i="16"/>
  <c r="N10" i="16" s="1"/>
  <c r="P9" i="16"/>
  <c r="Q8" i="16"/>
  <c r="S8" i="16" s="1"/>
  <c r="P10" i="7"/>
  <c r="P84" i="5"/>
  <c r="L25" i="10"/>
  <c r="K25" i="10"/>
  <c r="G25" i="10"/>
  <c r="H25" i="10"/>
  <c r="I25" i="10"/>
  <c r="F25" i="10"/>
  <c r="H9" i="8"/>
  <c r="G9" i="8"/>
  <c r="F9" i="8"/>
  <c r="N31" i="5"/>
  <c r="Q31" i="5" s="1"/>
  <c r="S31" i="5" s="1"/>
  <c r="M31" i="5"/>
  <c r="M9" i="5"/>
  <c r="E9" i="5"/>
  <c r="N9" i="5" s="1"/>
  <c r="O52" i="10"/>
  <c r="Q52" i="10" s="1"/>
  <c r="S33" i="11"/>
  <c r="V33" i="11" s="1"/>
  <c r="X33" i="11" s="1"/>
  <c r="R33" i="11"/>
  <c r="S39" i="11"/>
  <c r="V39" i="11" s="1"/>
  <c r="X39" i="11" s="1"/>
  <c r="R39" i="11"/>
  <c r="S37" i="11"/>
  <c r="V37" i="11" s="1"/>
  <c r="X37" i="11" s="1"/>
  <c r="R37" i="11"/>
  <c r="S35" i="11"/>
  <c r="V35" i="11" s="1"/>
  <c r="X35" i="11" s="1"/>
  <c r="R35" i="11"/>
  <c r="V36" i="11"/>
  <c r="U36" i="11"/>
  <c r="S25" i="11"/>
  <c r="U25" i="11" s="1"/>
  <c r="R25" i="11"/>
  <c r="P7" i="1"/>
  <c r="N9" i="7"/>
  <c r="P9" i="7" s="1"/>
  <c r="M9" i="7"/>
  <c r="N8" i="7"/>
  <c r="Q8" i="7" s="1"/>
  <c r="M8" i="7"/>
  <c r="N7" i="7"/>
  <c r="P7" i="7" s="1"/>
  <c r="M7" i="7"/>
  <c r="M8" i="5"/>
  <c r="N8" i="5"/>
  <c r="Q8" i="5" s="1"/>
  <c r="S8" i="5" s="1"/>
  <c r="M26" i="5"/>
  <c r="M7" i="5"/>
  <c r="M40" i="5"/>
  <c r="N7" i="5"/>
  <c r="Q7" i="5" s="1"/>
  <c r="S7" i="5" s="1"/>
  <c r="Q99" i="5" l="1"/>
  <c r="S99" i="5" s="1"/>
  <c r="P99" i="5"/>
  <c r="Q86" i="5"/>
  <c r="S86" i="5" s="1"/>
  <c r="S19" i="11"/>
  <c r="R19" i="11"/>
  <c r="V16" i="11"/>
  <c r="U16" i="11"/>
  <c r="V29" i="11"/>
  <c r="X29" i="11" s="1"/>
  <c r="U29" i="11"/>
  <c r="Q7" i="1"/>
  <c r="S12" i="18"/>
  <c r="Q10" i="16"/>
  <c r="P10" i="16"/>
  <c r="Q76" i="5"/>
  <c r="S76" i="5" s="1"/>
  <c r="P69" i="5"/>
  <c r="Q69" i="5"/>
  <c r="S69" i="5" s="1"/>
  <c r="S18" i="3"/>
  <c r="W18" i="3" s="1"/>
  <c r="T18" i="3"/>
  <c r="X18" i="3" s="1"/>
  <c r="X32" i="3"/>
  <c r="W32" i="3"/>
  <c r="X7" i="3"/>
  <c r="Q15" i="19"/>
  <c r="S15" i="19" s="1"/>
  <c r="P15" i="19"/>
  <c r="W12" i="3"/>
  <c r="X12" i="3"/>
  <c r="V37" i="3"/>
  <c r="X37" i="3"/>
  <c r="W37" i="3"/>
  <c r="R45" i="3"/>
  <c r="V45" i="3" s="1"/>
  <c r="T45" i="3"/>
  <c r="X45" i="3" s="1"/>
  <c r="S45" i="3"/>
  <c r="W45" i="3" s="1"/>
  <c r="W7" i="3"/>
  <c r="R58" i="10"/>
  <c r="T58" i="10" s="1"/>
  <c r="V24" i="11"/>
  <c r="X24" i="11" s="1"/>
  <c r="U24" i="11"/>
  <c r="W16" i="21"/>
  <c r="S37" i="5"/>
  <c r="O25" i="10"/>
  <c r="N25" i="10"/>
  <c r="Q84" i="5"/>
  <c r="S84" i="5" s="1"/>
  <c r="R52" i="10"/>
  <c r="T52" i="10" s="1"/>
  <c r="N52" i="10"/>
  <c r="P31" i="5"/>
  <c r="Q9" i="5"/>
  <c r="S9" i="5" s="1"/>
  <c r="P9" i="5"/>
  <c r="Q7" i="7"/>
  <c r="S7" i="7" s="1"/>
  <c r="Q9" i="7"/>
  <c r="S9" i="7" s="1"/>
  <c r="P8" i="7"/>
  <c r="U39" i="11"/>
  <c r="U37" i="11"/>
  <c r="U35" i="11"/>
  <c r="U33" i="11"/>
  <c r="V25" i="11"/>
  <c r="X25" i="11" s="1"/>
  <c r="S8" i="7"/>
  <c r="P55" i="3"/>
  <c r="O55" i="3"/>
  <c r="P53" i="3"/>
  <c r="O53" i="3"/>
  <c r="U19" i="11" l="1"/>
  <c r="V19" i="11"/>
  <c r="X19" i="11" s="1"/>
  <c r="R25" i="10"/>
  <c r="T25" i="10" s="1"/>
  <c r="Q25" i="10"/>
  <c r="O16" i="11"/>
  <c r="O19" i="11"/>
  <c r="P16" i="11"/>
  <c r="P19" i="11"/>
  <c r="X16" i="11"/>
  <c r="P10" i="11"/>
  <c r="O10" i="11"/>
  <c r="J10" i="11"/>
  <c r="H10" i="11"/>
  <c r="R10" i="11"/>
  <c r="K10" i="11"/>
  <c r="I10" i="11"/>
  <c r="X10" i="11"/>
  <c r="V10" i="11"/>
  <c r="G10" i="11"/>
  <c r="S10" i="11"/>
  <c r="U1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tc={4DD9CEE2-0BB3-4BCF-8017-C288645DC9A7}</author>
    <author>tc={4370C45E-A080-43AA-B329-0B5988D1D058}</author>
  </authors>
  <commentList>
    <comment ref="D7" authorId="0" shapeId="0" xr:uid="{4DD9CEE2-0BB3-4BCF-8017-C288645DC9A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affaire - 42pces</t>
        </r>
      </text>
    </comment>
    <comment ref="AB7" authorId="1" shapeId="0" xr:uid="{4370C45E-A080-43AA-B329-0B5988D1D058}">
      <text>
        <r>
          <rPr>
            <sz val="11"/>
            <color theme="1"/>
            <rFont val="Calibri"/>
            <family val="2"/>
            <scheme val="minor"/>
          </rPr>
  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AFFAIRE = 42 PCES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Diane Ladrette</author>
  </authors>
  <commentList>
    <comment ref="H9" authorId="0" shapeId="0" xr:uid="{844843C6-7719-4123-AAD6-7B0BB429CF6A}">
      <text>
        <r>
          <rPr>
            <sz val="9"/>
            <color indexed="81"/>
            <rFont val="Tahoma"/>
            <family val="2"/>
          </rPr>
          <t>1 projet 70pces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Diane Ladrette</author>
  </authors>
  <commentList>
    <comment ref="F32" authorId="0" shapeId="0" xr:uid="{D3B7814B-1961-4049-A936-50E3AFBFA133}">
      <text>
        <r>
          <rPr>
            <sz val="9"/>
            <color indexed="81"/>
            <rFont val="Tahoma"/>
            <family val="2"/>
          </rPr>
          <t xml:space="preserve">Vero:
8cde/2023
1x80pces
</t>
        </r>
      </text>
    </comment>
    <comment ref="J39" authorId="0" shapeId="0" xr:uid="{5C2BC6E6-2EBE-4474-A323-DCC129EF5F3A}">
      <text>
        <r>
          <rPr>
            <b/>
            <sz val="9"/>
            <color indexed="81"/>
            <rFont val="Tahoma"/>
            <family val="2"/>
          </rPr>
          <t>dispo ref ceha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Diane Ladrette</author>
  </authors>
  <commentList>
    <comment ref="D12" authorId="0" shapeId="0" xr:uid="{1ECCE884-52C8-4351-8703-EC2417109DF0}">
      <text>
        <r>
          <rPr>
            <sz val="9"/>
            <color indexed="81"/>
            <rFont val="Tahoma"/>
            <family val="2"/>
          </rPr>
          <t>Plateau uniquement compatible avec les châsis DJT100 ou les DYNA</t>
        </r>
      </text>
    </comment>
    <comment ref="D18" authorId="0" shapeId="0" xr:uid="{B27F2632-7C23-475B-9D18-90EEF363B852}">
      <text>
        <r>
          <rPr>
            <sz val="9"/>
            <color indexed="81"/>
            <rFont val="Tahoma"/>
            <family val="2"/>
          </rPr>
          <t>Plateau uniquement compatible avec les châsis DJT100 ou les DYNA</t>
        </r>
      </text>
    </comment>
    <comment ref="D28" authorId="0" shapeId="0" xr:uid="{45340BBC-6C08-4C6D-B53D-A519994A3416}">
      <text>
        <r>
          <rPr>
            <sz val="9"/>
            <color indexed="81"/>
            <rFont val="Tahoma"/>
            <family val="2"/>
          </rPr>
          <t>Plateau uniquement compatible avec les châsis DJT100 ou les DYNA</t>
        </r>
      </text>
    </comment>
  </commentList>
</comments>
</file>

<file path=xl/sharedStrings.xml><?xml version="1.0" encoding="utf-8"?>
<sst xmlns="http://schemas.openxmlformats.org/spreadsheetml/2006/main" count="894" uniqueCount="530">
  <si>
    <t>Calcul de réassort article</t>
  </si>
  <si>
    <t>VM / an</t>
  </si>
  <si>
    <t>VM / mois</t>
  </si>
  <si>
    <t>Stock dispo</t>
  </si>
  <si>
    <t xml:space="preserve">REGAL GTP ergo PM60           </t>
  </si>
  <si>
    <t>PAOLA3</t>
  </si>
  <si>
    <t xml:space="preserve">TILT PL56 OH/5 C-11           </t>
  </si>
  <si>
    <t>ULTRA</t>
  </si>
  <si>
    <t xml:space="preserve">TILT PL64 OH/5 C-11  </t>
  </si>
  <si>
    <t>KAREN II - OCC / OCCSTEFANIA</t>
  </si>
  <si>
    <t xml:space="preserve">ISIS  </t>
  </si>
  <si>
    <t xml:space="preserve">25Q(PROM)C-11      </t>
  </si>
  <si>
    <t xml:space="preserve">(PROM)OH/5C-11    </t>
  </si>
  <si>
    <t>AEROL</t>
  </si>
  <si>
    <t xml:space="preserve">OCCALISSIA     </t>
  </si>
  <si>
    <t>(PROM)OH/5C-11</t>
  </si>
  <si>
    <t xml:space="preserve">BOOSTER (PROM) ECO-30 </t>
  </si>
  <si>
    <t>SIENA - porte monteau avec porte parapluie</t>
  </si>
  <si>
    <t>SIENA</t>
  </si>
  <si>
    <t>ZURICH</t>
  </si>
  <si>
    <t>ZETA HOKER CHROME (BOX2)PROMV4</t>
  </si>
  <si>
    <t>Viking</t>
  </si>
  <si>
    <t>PAOLA2</t>
  </si>
  <si>
    <t>NOWY STYLE - Art frn - art interne</t>
  </si>
  <si>
    <t>KAREN / CHR029005</t>
  </si>
  <si>
    <t>sur 3 ans</t>
  </si>
  <si>
    <t>01.24 - 12.21</t>
  </si>
  <si>
    <t>LIRA*</t>
  </si>
  <si>
    <t>VANESSA</t>
  </si>
  <si>
    <t xml:space="preserve">Calcul de réassort Chaises </t>
  </si>
  <si>
    <t>?</t>
  </si>
  <si>
    <t>ARIEL</t>
  </si>
  <si>
    <t>PENELOPE</t>
  </si>
  <si>
    <t xml:space="preserve">AMF - Rainbow </t>
  </si>
  <si>
    <t>EIFFEL</t>
  </si>
  <si>
    <t>CDE</t>
  </si>
  <si>
    <t xml:space="preserve">Guangzhou Huashi Furniture </t>
  </si>
  <si>
    <t>Chaises web</t>
  </si>
  <si>
    <t xml:space="preserve">V1-BM-02 </t>
  </si>
  <si>
    <t>COCOON</t>
  </si>
  <si>
    <t>Délai livraison/J</t>
  </si>
  <si>
    <t># vendu</t>
  </si>
  <si>
    <t># d'affaires</t>
  </si>
  <si>
    <t>Forecast 6M</t>
  </si>
  <si>
    <t>#qty</t>
  </si>
  <si>
    <t>Forecast 12M</t>
  </si>
  <si>
    <t>DEKA</t>
  </si>
  <si>
    <t>V5-BH-02</t>
  </si>
  <si>
    <t>207pces commandées</t>
  </si>
  <si>
    <t>204pces commandées</t>
  </si>
  <si>
    <t>Forecast 9M</t>
  </si>
  <si>
    <t>MADES</t>
  </si>
  <si>
    <t>MADES / STOCK</t>
  </si>
  <si>
    <t>SONIA</t>
  </si>
  <si>
    <t>Ventes (réservation +BL, y compris)</t>
  </si>
  <si>
    <t>réf Frn</t>
  </si>
  <si>
    <t>Réf interne</t>
  </si>
  <si>
    <t>En cde</t>
  </si>
  <si>
    <t>FRED</t>
  </si>
  <si>
    <t>ESTEBAN</t>
  </si>
  <si>
    <t>15310901036-80</t>
  </si>
  <si>
    <t>idem frn - étagères</t>
  </si>
  <si>
    <t>Recom. CDE</t>
  </si>
  <si>
    <t>Délai de livraison 6 semaines</t>
  </si>
  <si>
    <t>LOCK FOR FILE CUPBOARD</t>
  </si>
  <si>
    <t>6010120-7035</t>
  </si>
  <si>
    <t>NARBUTAS</t>
  </si>
  <si>
    <t>NARBUTAS / STOCK</t>
  </si>
  <si>
    <t>DNZ020</t>
  </si>
  <si>
    <t xml:space="preserve">DZP188-M1B  </t>
  </si>
  <si>
    <t>DZT146-I-DZP168-M1BM</t>
  </si>
  <si>
    <t>DZT146-I-DZP188-M1BM</t>
  </si>
  <si>
    <t>ANTARES / STOCK</t>
  </si>
  <si>
    <t>ELOISA/2</t>
  </si>
  <si>
    <t>FLOKK / STOCK</t>
  </si>
  <si>
    <t>434-3019-C2G-470</t>
  </si>
  <si>
    <t>353-4029-Noir</t>
  </si>
  <si>
    <t>ANTARES</t>
  </si>
  <si>
    <t>Délai de livraison 45 JOURS</t>
  </si>
  <si>
    <t>1850AR40D2</t>
  </si>
  <si>
    <t xml:space="preserve">V18564592+V70120050-K </t>
  </si>
  <si>
    <t>Délai de livraison</t>
  </si>
  <si>
    <t>Narbutas</t>
  </si>
  <si>
    <t>Pas de stock pour cet article</t>
  </si>
  <si>
    <t>conditionné par 24 ou 25 pces</t>
  </si>
  <si>
    <t>100013-W</t>
  </si>
  <si>
    <t>Petite fourniture</t>
  </si>
  <si>
    <t>Brack</t>
  </si>
  <si>
    <t>Lyreco</t>
  </si>
  <si>
    <t>6017301-1</t>
  </si>
  <si>
    <t>article à désectiver dès que le stock restant aura été vendu - ventes à predre en considération dans le calcul du réassort du nouveau chassis c/Narbutas DJT101 (sera en 3 couleurs)</t>
  </si>
  <si>
    <t>Vente/mois</t>
  </si>
  <si>
    <t>6011120-5010</t>
  </si>
  <si>
    <t xml:space="preserve">SUC010+SZZ101-A-C14PM1    </t>
  </si>
  <si>
    <t>1200x800</t>
  </si>
  <si>
    <t>ELENA 1600x800 gris</t>
  </si>
  <si>
    <t>ET223(IB) - Loctek</t>
  </si>
  <si>
    <t>DJT101-M3FVA-CH</t>
  </si>
  <si>
    <t>CHASSIS ELECTRIQUES</t>
  </si>
  <si>
    <t>CUMUL</t>
  </si>
  <si>
    <t>DJT101-E3FVA-CH</t>
  </si>
  <si>
    <t>Seuil de réappro
3 mois</t>
  </si>
  <si>
    <t>Qte optimale après réappro - 5 mois</t>
  </si>
  <si>
    <t>PLATEAUX</t>
  </si>
  <si>
    <t>Couleur</t>
  </si>
  <si>
    <t>Dimension</t>
  </si>
  <si>
    <t>Fournisseur</t>
  </si>
  <si>
    <t>Mades</t>
  </si>
  <si>
    <t>100014 ELENA</t>
  </si>
  <si>
    <t>Gris</t>
  </si>
  <si>
    <t>Gris perle</t>
  </si>
  <si>
    <t>1800x800</t>
  </si>
  <si>
    <t>DJP181-N3</t>
  </si>
  <si>
    <t>--</t>
  </si>
  <si>
    <t>100013 ELENA</t>
  </si>
  <si>
    <t>1600x800</t>
  </si>
  <si>
    <t>DJP181-N3 (ACTIVE &amp; Q-ACTIVE)</t>
  </si>
  <si>
    <t>DJP161-N3</t>
  </si>
  <si>
    <t>DJP161-N3 (ACTIVE &amp;Q-ACTIVE)</t>
  </si>
  <si>
    <t>100011 ELENA</t>
  </si>
  <si>
    <t>100012 ELENA</t>
  </si>
  <si>
    <t>100015 ELENA</t>
  </si>
  <si>
    <t>100016 ELENA</t>
  </si>
  <si>
    <t>1400x800</t>
  </si>
  <si>
    <t>2000x800</t>
  </si>
  <si>
    <t>2000x1000</t>
  </si>
  <si>
    <t>100013-W ELENA</t>
  </si>
  <si>
    <t>Blanc</t>
  </si>
  <si>
    <t>DJP161-M1</t>
  </si>
  <si>
    <t>DJP161-M1 (ACTIVE &amp;Q-ACTIVE)</t>
  </si>
  <si>
    <t>INFO / ACTION</t>
  </si>
  <si>
    <t>Dlai de livraison - standard 5 semaines / spécifique 7 semaines</t>
  </si>
  <si>
    <t>Qte optimale après réappro - 4.5 mois</t>
  </si>
  <si>
    <t>Chiffres - marchandise confirmée!</t>
  </si>
  <si>
    <t>6110138 - REGAL</t>
  </si>
  <si>
    <t>PMKALOCK</t>
  </si>
  <si>
    <t>6010120-5010</t>
  </si>
  <si>
    <t>DNA160UMIM</t>
  </si>
  <si>
    <t>DZP188-M1B</t>
  </si>
  <si>
    <t>maj seuil de réappro</t>
  </si>
  <si>
    <t>seuil réappro a 0</t>
  </si>
  <si>
    <t>ELOISA/1</t>
  </si>
  <si>
    <t>PETIT MATERIEL</t>
  </si>
  <si>
    <t>Hornbach</t>
  </si>
  <si>
    <t>Divers</t>
  </si>
  <si>
    <t>plus en vente</t>
  </si>
  <si>
    <t>6110111 Frank plat</t>
  </si>
  <si>
    <t>Gonser</t>
  </si>
  <si>
    <t>DJT100-EG-CH</t>
  </si>
  <si>
    <t>Seuil de réappro
6 mois</t>
  </si>
  <si>
    <t>Qte optimale après réappro - 12 mois</t>
  </si>
  <si>
    <t>MOBICA - RE-CB-002</t>
  </si>
  <si>
    <t>AMF - 285000 ?</t>
  </si>
  <si>
    <t xml:space="preserve">AMF - 285000                        </t>
  </si>
  <si>
    <t xml:space="preserve">Nowy Sty - E-263           </t>
  </si>
  <si>
    <t>AMF - Noc0006</t>
  </si>
  <si>
    <t xml:space="preserve">AMF - Noc2635 </t>
  </si>
  <si>
    <t xml:space="preserve">Nowy Styl - Jack Black V-Cerata          </t>
  </si>
  <si>
    <t>SARA/1</t>
  </si>
  <si>
    <t xml:space="preserve">Antares - TENNESSEE Z90106000    </t>
  </si>
  <si>
    <t>PORTE-MONTEAU</t>
  </si>
  <si>
    <t>03.24 - 12.21</t>
  </si>
  <si>
    <t>Commentaire</t>
  </si>
  <si>
    <t>Article à sortir de la vente après liquidation du stock
Seuil de réapport mis à 0</t>
  </si>
  <si>
    <t>DZP188-M1B  EASY</t>
  </si>
  <si>
    <t>DZT146-DZP166-ZNZ010</t>
  </si>
  <si>
    <t>DZT146-DZP168 NON STOCK</t>
  </si>
  <si>
    <t>DZT146-DZP186-ZNZ010-DNZ019</t>
  </si>
  <si>
    <t>DZT146-DZP186-ZNZ010-DNZ020</t>
  </si>
  <si>
    <t>DZT146-DZP188</t>
  </si>
  <si>
    <t>DZT146-I-DZP120</t>
  </si>
  <si>
    <t>DZT146-I-DZP120-M1BM</t>
  </si>
  <si>
    <t>DZT146-I-DZP148</t>
  </si>
  <si>
    <t>DZT146-I-DZP148-M1BM</t>
  </si>
  <si>
    <t>DZT146-M-I-DZP167-M1</t>
  </si>
  <si>
    <t>DZT146-I-DZP168</t>
  </si>
  <si>
    <t>DZT146-I-DZP187</t>
  </si>
  <si>
    <t>DZT146-I-DZP188</t>
  </si>
  <si>
    <t>DZT146-MI</t>
  </si>
  <si>
    <t>DZT146-W-DZP186-ZNZ010</t>
  </si>
  <si>
    <t>DZT146-DZP168</t>
  </si>
  <si>
    <t>DZT146-I-DZP120-M1M</t>
  </si>
  <si>
    <t>DZT146-I-DZP148-M1M</t>
  </si>
  <si>
    <t>DZT146-I-DZP167</t>
  </si>
  <si>
    <t>DZT146-I-DZP168-M1M</t>
  </si>
  <si>
    <t>DZT146-I-DZP188-M1M</t>
  </si>
  <si>
    <t>ARTICLE CATALOGUE !</t>
  </si>
  <si>
    <t>MOBIKA</t>
  </si>
  <si>
    <t>Délai de livraison 30 jours</t>
  </si>
  <si>
    <t>RE-SI-014</t>
  </si>
  <si>
    <t>RE-SI-002</t>
  </si>
  <si>
    <t>RE-SI-022</t>
  </si>
  <si>
    <t>RE-SI002</t>
  </si>
  <si>
    <t>Article de remplacement lors que rupture du RE-SI014</t>
  </si>
  <si>
    <t>Qte optimale après réappro - 6 mois</t>
  </si>
  <si>
    <t>AC-LAB-004</t>
  </si>
  <si>
    <t>En commande</t>
  </si>
  <si>
    <t>6017300-1</t>
  </si>
  <si>
    <t>Seuil de réappro mis à jour</t>
  </si>
  <si>
    <r>
      <t xml:space="preserve">DJT100-E3FVA-CH </t>
    </r>
    <r>
      <rPr>
        <b/>
        <sz val="11"/>
        <color theme="1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 xml:space="preserve">
 </t>
    </r>
    <r>
      <rPr>
        <sz val="11"/>
        <color rgb="FFFF0000"/>
        <rFont val="Calibri"/>
        <family val="2"/>
        <scheme val="minor"/>
      </rPr>
      <t>120-160cm</t>
    </r>
  </si>
  <si>
    <r>
      <t>DJT101-E3FVA-CH</t>
    </r>
    <r>
      <rPr>
        <b/>
        <sz val="11"/>
        <color theme="1"/>
        <rFont val="Calibri"/>
        <family val="2"/>
        <scheme val="minor"/>
      </rPr>
      <t xml:space="preserve"> blanc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100-200cm</t>
    </r>
  </si>
  <si>
    <t>169684 CASPER
tableau blanc 900x1200</t>
  </si>
  <si>
    <t>4976053 CASPER/2
tableau blanc 900x1200</t>
  </si>
  <si>
    <t>Seuil de réappro
2 mois</t>
  </si>
  <si>
    <t>Qte optimale après réappro - 2.5 MOIS</t>
  </si>
  <si>
    <t>149969
marqueurs 4 couleur</t>
  </si>
  <si>
    <t>3182612
effaceur</t>
  </si>
  <si>
    <t>3336009
corbeille papier 14l</t>
  </si>
  <si>
    <t>6018524
aiments noir</t>
  </si>
  <si>
    <t>Vente moyenne par affaire</t>
  </si>
  <si>
    <t xml:space="preserve">maj </t>
  </si>
  <si>
    <t>PROCHAINE COMMANDE</t>
  </si>
  <si>
    <t>DZM242-I-ZNZ01-M1M</t>
  </si>
  <si>
    <t>Wilking</t>
  </si>
  <si>
    <t>Désactiver de la vente</t>
  </si>
  <si>
    <t>Désactiver l'article</t>
  </si>
  <si>
    <t>DZP120-M1B</t>
  </si>
  <si>
    <t>DZP166-ZNZ010</t>
  </si>
  <si>
    <t>DZP168</t>
  </si>
  <si>
    <t>DZP168-M1B</t>
  </si>
  <si>
    <t>DZP186-ZNZ010</t>
  </si>
  <si>
    <r>
      <t xml:space="preserve">TABLES COMBINEES </t>
    </r>
    <r>
      <rPr>
        <b/>
        <sz val="11"/>
        <rFont val="Calibri"/>
        <family val="2"/>
        <scheme val="minor"/>
      </rPr>
      <t>DZT146</t>
    </r>
    <r>
      <rPr>
        <sz val="11"/>
        <rFont val="Calibri"/>
        <family val="2"/>
        <scheme val="minor"/>
      </rPr>
      <t xml:space="preserve"> T-EASY (Châssis 1200-1800mm)</t>
    </r>
  </si>
  <si>
    <t>Désactiver pour la vente</t>
  </si>
  <si>
    <t>PLATEAUX "DZPXXX" EASY - à SORTIR EN FAVEUR DE LA DJT101 (Q-ACTIVE)</t>
  </si>
  <si>
    <t>SI PAS DE STOCK - DESACTIVER POUR LA VENTE - !!ATT VERIFIER QUE PAS ART EN CATALOGUE OU WEB</t>
  </si>
  <si>
    <r>
      <t xml:space="preserve">Seuil de réappro
</t>
    </r>
    <r>
      <rPr>
        <sz val="11"/>
        <color rgb="FFFF0000"/>
        <rFont val="Calibri"/>
        <family val="2"/>
        <scheme val="minor"/>
      </rPr>
      <t>1.5</t>
    </r>
    <r>
      <rPr>
        <sz val="11"/>
        <color theme="0"/>
        <rFont val="Calibri"/>
        <family val="2"/>
        <scheme val="minor"/>
      </rPr>
      <t xml:space="preserve"> mois</t>
    </r>
  </si>
  <si>
    <t>ELENA 80x80</t>
  </si>
  <si>
    <t>PSR532M1MX</t>
  </si>
  <si>
    <t>ARTICLE A CONSERVER JUSQU'à EPUISSEMEMTN - PUIS SORTIR DE L'ASSORTIMENT!</t>
  </si>
  <si>
    <t>Garten</t>
  </si>
  <si>
    <t>set de 24 pcs</t>
  </si>
  <si>
    <t>Qte optimale après réappro - 2.5 mois</t>
  </si>
  <si>
    <t>Recommandation de baisser la qte a commander</t>
  </si>
  <si>
    <t>Banc vestiaire 1700x1000 6017300-1</t>
  </si>
  <si>
    <t>6016122_CAPS</t>
  </si>
  <si>
    <t>Bouchon lit 6016122_CAPS</t>
  </si>
  <si>
    <t>5 jeux de 8</t>
  </si>
  <si>
    <t>Vendues en moyenne par 3pcs</t>
  </si>
  <si>
    <t>Info mise à jour le</t>
  </si>
  <si>
    <t>VM / an
2021-2023</t>
  </si>
  <si>
    <t>VM / mois
2021-2024</t>
  </si>
  <si>
    <t>DJP181-M1</t>
  </si>
  <si>
    <t>DJP181-M1 (ACTIVE &amp;Q-ACTIVE)</t>
  </si>
  <si>
    <t xml:space="preserve">WOOD BLACK (PROM)     </t>
  </si>
  <si>
    <t>CDE
stock 6 mois</t>
  </si>
  <si>
    <t>CDE
stock 12 mois</t>
  </si>
  <si>
    <t>Nowy Styl - BLACK EU (PROM) PACK60</t>
  </si>
  <si>
    <t>FICHE INFO POUR SALES - 24.06.2024</t>
  </si>
  <si>
    <t>Table pliante KAROLINA</t>
  </si>
  <si>
    <t>Ceha</t>
  </si>
  <si>
    <t>Fournsiseur</t>
  </si>
  <si>
    <t>Ref fournisseur</t>
  </si>
  <si>
    <t>KAROLINA-1</t>
  </si>
  <si>
    <t>KAROLINA-2</t>
  </si>
  <si>
    <t xml:space="preserve">MS10350520L                   </t>
  </si>
  <si>
    <r>
      <t xml:space="preserve">Dimension HxLxP </t>
    </r>
    <r>
      <rPr>
        <sz val="11"/>
        <color rgb="FFFF0000"/>
        <rFont val="Calibri"/>
        <family val="2"/>
        <scheme val="minor"/>
      </rPr>
      <t>740</t>
    </r>
    <r>
      <rPr>
        <sz val="11"/>
        <color theme="1"/>
        <rFont val="Calibri"/>
        <family val="2"/>
        <scheme val="minor"/>
      </rPr>
      <t>x1600x800mm</t>
    </r>
  </si>
  <si>
    <r>
      <t>Dimension HxLxP</t>
    </r>
    <r>
      <rPr>
        <sz val="11"/>
        <color rgb="FFFF0000"/>
        <rFont val="Calibri"/>
        <family val="2"/>
        <scheme val="minor"/>
      </rPr>
      <t xml:space="preserve"> 750</t>
    </r>
    <r>
      <rPr>
        <sz val="11"/>
        <color theme="1"/>
        <rFont val="Calibri"/>
        <family val="2"/>
        <scheme val="minor"/>
      </rPr>
      <t>x1600x800mm
Model légèrement différent</t>
    </r>
  </si>
  <si>
    <t>Disponible pour la vente</t>
  </si>
  <si>
    <t>Date 20.06.2024</t>
  </si>
  <si>
    <t>5118200 Table ELENA</t>
  </si>
  <si>
    <t>Déali de livraison - sur stock 1à 2 semaines</t>
  </si>
  <si>
    <t>KAROLINA</t>
  </si>
  <si>
    <t>ATENA</t>
  </si>
  <si>
    <t>Qte optimale après réappro 2.5 mois</t>
  </si>
  <si>
    <t xml:space="preserve">MS10350520L   </t>
  </si>
  <si>
    <r>
      <t>DJT101-A3FVA-CH</t>
    </r>
    <r>
      <rPr>
        <b/>
        <sz val="11"/>
        <color theme="1"/>
        <rFont val="Calibri"/>
        <family val="2"/>
        <scheme val="minor"/>
      </rPr>
      <t xml:space="preserve"> noir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100-200cm</t>
    </r>
  </si>
  <si>
    <t>DJT101-A3FVA-CH</t>
  </si>
  <si>
    <t>KAREN M / RE-CB-002 (Attention - pieds marron)</t>
  </si>
  <si>
    <r>
      <rPr>
        <b/>
        <sz val="11"/>
        <rFont val="Calibri"/>
        <family val="2"/>
        <scheme val="minor"/>
      </rPr>
      <t>VIKING</t>
    </r>
    <r>
      <rPr>
        <sz val="11"/>
        <rFont val="Calibri"/>
        <family val="2"/>
        <scheme val="minor"/>
      </rPr>
      <t xml:space="preserve"> - 4554214         </t>
    </r>
  </si>
  <si>
    <r>
      <rPr>
        <b/>
        <sz val="11"/>
        <rFont val="Calibri"/>
        <family val="2"/>
        <scheme val="minor"/>
      </rPr>
      <t>VIKING</t>
    </r>
    <r>
      <rPr>
        <sz val="11"/>
        <rFont val="Calibri"/>
        <family val="2"/>
        <scheme val="minor"/>
      </rPr>
      <t xml:space="preserve"> - 4175553  </t>
    </r>
  </si>
  <si>
    <t>par 15</t>
  </si>
  <si>
    <t>Seuil de réappro
1.5 mois</t>
  </si>
  <si>
    <t>6017102 / Socle banc 600</t>
  </si>
  <si>
    <t>6017103 / Socle banc 800</t>
  </si>
  <si>
    <t>6017104 / Socle banc 900</t>
  </si>
  <si>
    <t>Garten2</t>
  </si>
  <si>
    <t>Jumbo</t>
  </si>
  <si>
    <t>Prodega</t>
  </si>
  <si>
    <t>3 mois</t>
  </si>
  <si>
    <t>4 mois</t>
  </si>
  <si>
    <t>2023 : moyenne/mois 15  - pick avril, oct + nov</t>
  </si>
  <si>
    <t>2022 : moyenne 20/mois  - pick avril, mai, juillet</t>
  </si>
  <si>
    <t>dès l'offre active! Semaine 30</t>
  </si>
  <si>
    <t>353-3018 Giroflex</t>
  </si>
  <si>
    <t>353-4029 Giroflex</t>
  </si>
  <si>
    <t>353-4029 Giroflex noir</t>
  </si>
  <si>
    <t>353-4029-GEN</t>
  </si>
  <si>
    <t xml:space="preserve">Ventes </t>
  </si>
  <si>
    <t>353-4029-NOIR</t>
  </si>
  <si>
    <t>ACHATS</t>
  </si>
  <si>
    <t>qty</t>
  </si>
  <si>
    <t># affaires</t>
  </si>
  <si>
    <t>GIROFLEX</t>
  </si>
  <si>
    <t>Venise</t>
  </si>
  <si>
    <t>353-3018-C2G</t>
  </si>
  <si>
    <t># cdes</t>
  </si>
  <si>
    <t># cde</t>
  </si>
  <si>
    <t>2021 - Une affaire à 70 pièces</t>
  </si>
  <si>
    <t>6110141
1800x800x380mm</t>
  </si>
  <si>
    <t>multiples de 25</t>
  </si>
  <si>
    <t>5118180 Table Elena
750x1800x800</t>
  </si>
  <si>
    <t>LI-BO-150-PU
lisse bois 7 crochets</t>
  </si>
  <si>
    <t>6017301-1  BIANCA
Banc vestiaire 150cm</t>
  </si>
  <si>
    <t>EL-CO-006</t>
  </si>
  <si>
    <t xml:space="preserve">dès septembre : 2023 63x / 2022 47x / 2021 30x </t>
  </si>
  <si>
    <t>61 10 160 MICRO</t>
  </si>
  <si>
    <t>6010120-7035 BILEL</t>
  </si>
  <si>
    <t>AC-LB-004
Lave bottes</t>
  </si>
  <si>
    <t>6017221 Greg 
Banc 150cm</t>
  </si>
  <si>
    <r>
      <rPr>
        <sz val="11"/>
        <color rgb="FFFF0000"/>
        <rFont val="Calibri"/>
        <family val="2"/>
        <scheme val="minor"/>
      </rPr>
      <t>6017302-1</t>
    </r>
    <r>
      <rPr>
        <sz val="11"/>
        <color theme="1"/>
        <rFont val="Calibri"/>
        <family val="2"/>
        <scheme val="minor"/>
      </rPr>
      <t xml:space="preserve"> BIANCA
</t>
    </r>
    <r>
      <rPr>
        <sz val="11"/>
        <color rgb="FFFF0000"/>
        <rFont val="Calibri"/>
        <family val="2"/>
        <scheme val="minor"/>
      </rPr>
      <t xml:space="preserve">6017302 
</t>
    </r>
    <r>
      <rPr>
        <sz val="11"/>
        <rFont val="Calibri"/>
        <family val="2"/>
        <scheme val="minor"/>
      </rPr>
      <t>Banc vestiaire 200cm</t>
    </r>
  </si>
  <si>
    <t>6017251
grille chaussure 150cm</t>
  </si>
  <si>
    <t>6017300-1 BIANCA
banc vestiaire 100cm</t>
  </si>
  <si>
    <t>MADES - 6110146 MARKUS</t>
  </si>
  <si>
    <t>240.118.2000</t>
  </si>
  <si>
    <t>MARKUS-1 240.118.2000</t>
  </si>
  <si>
    <t>moyenne de vente entre 5 et 10 pcs</t>
  </si>
  <si>
    <t>Recom CDE</t>
  </si>
  <si>
    <t>SIA104</t>
  </si>
  <si>
    <t>DZT146-M1</t>
  </si>
  <si>
    <t>valoriser avec tous les autres articles??</t>
  </si>
  <si>
    <t>ZZZ004</t>
  </si>
  <si>
    <t>ZZZ004 Plumier pur PSR532 (uniquement)</t>
  </si>
  <si>
    <t>DZT146-M1 chassis gris</t>
  </si>
  <si>
    <t xml:space="preserve">DZT146-I-DZP168-M1M           </t>
  </si>
  <si>
    <t xml:space="preserve">Châssis gris + plateau blanc </t>
  </si>
  <si>
    <t>Calcul sur 2 mois de réappro</t>
  </si>
  <si>
    <t>.</t>
  </si>
  <si>
    <t>TOTAL</t>
  </si>
  <si>
    <t>ventes</t>
  </si>
  <si>
    <t>affaires</t>
  </si>
  <si>
    <t>PA</t>
  </si>
  <si>
    <t>BESTA NS BLACK-15 (1) BLACK</t>
  </si>
  <si>
    <t>VESTAR</t>
  </si>
  <si>
    <t>6mois dès la validation de la commande</t>
  </si>
  <si>
    <t>Vestar</t>
  </si>
  <si>
    <t>VS-135L</t>
  </si>
  <si>
    <t>Seuil de réappro</t>
  </si>
  <si>
    <t>Qte optimale après réappro</t>
  </si>
  <si>
    <t xml:space="preserve">Réfrigérateur VS135 </t>
  </si>
  <si>
    <t>Capacité: 135 litres</t>
  </si>
  <si>
    <t>Classe energétique E</t>
  </si>
  <si>
    <t>Couleur blanc</t>
  </si>
  <si>
    <t>HxLxP 855x570x575mm</t>
  </si>
  <si>
    <t>PV 273.25</t>
  </si>
  <si>
    <t>PA 85.80</t>
  </si>
  <si>
    <t>KS130</t>
  </si>
  <si>
    <t>Coldtec</t>
  </si>
  <si>
    <t>Article à garder</t>
  </si>
  <si>
    <t>Article à sortir de la vente après liquidation du stock</t>
  </si>
  <si>
    <t xml:space="preserve">0607 EL-CG-002                </t>
  </si>
  <si>
    <t>15310601032-02</t>
  </si>
  <si>
    <t>15310601032-01</t>
  </si>
  <si>
    <t>15310601032-03</t>
  </si>
  <si>
    <t>Attention - vente perdues car manque de stock - models similaires vendus à la place!</t>
  </si>
  <si>
    <t>Article à remplacer par 100013 - SR à 0?</t>
  </si>
  <si>
    <t>Ajuster le SR sur la base des 2 articles ?</t>
  </si>
  <si>
    <t>NOUVELLE COMMANDE</t>
  </si>
  <si>
    <t>art proposé depuis 04.2024 - Généralement commandes 2 à 3pièces / 1commande de 12pces</t>
  </si>
  <si>
    <t>6015100 Ulys</t>
  </si>
  <si>
    <t>DJP141-M1</t>
  </si>
  <si>
    <t>Réassort à 0 - commander sur demande</t>
  </si>
  <si>
    <t>MAJ - 24.09.2024</t>
  </si>
  <si>
    <t>ajuster le SR à 18 (4pces sur 5 mois)
Ventes par max 5pces en 2024</t>
  </si>
  <si>
    <t>Demander une palette (si 24 ok)</t>
  </si>
  <si>
    <t>Commander pour l'année</t>
  </si>
  <si>
    <t>Ventes plutôt en début d'année
Commander pour la saison</t>
  </si>
  <si>
    <t>commander une palette pour assurer un stock sur 4 mois</t>
  </si>
  <si>
    <t>ET3-BK</t>
  </si>
  <si>
    <r>
      <t xml:space="preserve">DJT101-M3FVA-CH </t>
    </r>
    <r>
      <rPr>
        <b/>
        <sz val="11"/>
        <color theme="1"/>
        <rFont val="Calibri"/>
        <family val="2"/>
        <scheme val="minor"/>
      </rPr>
      <t>gris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100-200 cm</t>
    </r>
  </si>
  <si>
    <t>Article proposé depuis 09.2024
Article à garder</t>
  </si>
  <si>
    <t>CDE
2.5 mois</t>
  </si>
  <si>
    <t>Article sorti de la vente</t>
  </si>
  <si>
    <t>maj</t>
  </si>
  <si>
    <t>A ACHETER DZRxxx pour remplacer tous les plateaux Narbutas / désactiver de la vente dès stock à 0</t>
  </si>
  <si>
    <r>
      <t xml:space="preserve">article proposé depuis 04.24 - </t>
    </r>
    <r>
      <rPr>
        <sz val="11"/>
        <color rgb="FFFF0000"/>
        <rFont val="Calibri"/>
        <family val="2"/>
        <scheme val="minor"/>
      </rPr>
      <t>ACHETER DZRxxx pour remplacer tous les plateaux Narbutas / désactiver de la vente dès stock à 0</t>
    </r>
  </si>
  <si>
    <t>Article à désactiver lorsque stock à 0</t>
  </si>
  <si>
    <t>DZP188-M1B (EASY)</t>
  </si>
  <si>
    <t>DZR160-M1</t>
  </si>
  <si>
    <t>DNA180UM1M</t>
  </si>
  <si>
    <t>KS130 E</t>
  </si>
  <si>
    <t>Ventes octobre à décembre</t>
  </si>
  <si>
    <t>en cde</t>
  </si>
  <si>
    <t>vente/mois</t>
  </si>
  <si>
    <t>vente 3 mois</t>
  </si>
  <si>
    <t>hors projet, moyenne de commande 4 pces. SR à 12 (08.10.24)</t>
  </si>
  <si>
    <t>DZT146-M-I-DZP168-M1</t>
  </si>
  <si>
    <t xml:space="preserve">OCCDZT146-DZT168              </t>
  </si>
  <si>
    <t>réservé 3x</t>
  </si>
  <si>
    <t>réservé 29x</t>
  </si>
  <si>
    <t>2 à commander</t>
  </si>
  <si>
    <t>JUMBO</t>
  </si>
  <si>
    <t>MEDIAMARKT</t>
  </si>
  <si>
    <t>COLDTEC</t>
  </si>
  <si>
    <t>Radiateur bain d'huile 1500W</t>
  </si>
  <si>
    <t>Radiateur bain d'huile 2000W</t>
  </si>
  <si>
    <t>PV 125.20</t>
  </si>
  <si>
    <t>Vu la baisse des ventes ajuster le seuil de réappro à 25 et attendre avant de passer une nouvelle commande?</t>
  </si>
  <si>
    <t>par 60</t>
  </si>
  <si>
    <t>SR 2mois</t>
  </si>
  <si>
    <t>Voir article DJP181-N3 (chez Narbutas). Passer c/Mades dès stock consommé</t>
  </si>
  <si>
    <t>multiple de 25??</t>
  </si>
  <si>
    <t xml:space="preserve">CLARA/1 / ISO008  </t>
  </si>
  <si>
    <t xml:space="preserve">quotation pour 300pces - soutien avec un prix d'achat attractif pour le lancement et potentiellement augmenter la cadence </t>
  </si>
  <si>
    <t xml:space="preserve"> + une liste d'échantillon d'articles qui sera transmis plus tard (environ 7 articles)</t>
  </si>
  <si>
    <t>COMMANDE</t>
  </si>
  <si>
    <t>Commentaires</t>
  </si>
  <si>
    <t>Vu avec GG - continuer à commander c/NW pour maintenir l'image Promerka + stabilité du produit</t>
  </si>
  <si>
    <r>
      <t>moyenne de vente 2 à 3 pces - SR à 6 / 11.2024 :</t>
    </r>
    <r>
      <rPr>
        <sz val="11"/>
        <color rgb="FFFF0000"/>
        <rFont val="Calibri"/>
        <family val="2"/>
        <scheme val="minor"/>
      </rPr>
      <t>ATT.</t>
    </r>
    <r>
      <rPr>
        <sz val="11"/>
        <color theme="1"/>
        <rFont val="Calibri"/>
        <family val="2"/>
        <scheme val="minor"/>
      </rPr>
      <t xml:space="preserve"> PV adapté à la baisse anc. 423.20, nouv 352.50 - voir si impact sur les ventes</t>
    </r>
  </si>
  <si>
    <t>une palette - conditionnement standar</t>
  </si>
  <si>
    <t>AJUSTER CDE</t>
  </si>
  <si>
    <t>Article proposé depuis 03.2024
Article sorti de la vente</t>
  </si>
  <si>
    <r>
      <t xml:space="preserve">DYNA1G - gris
</t>
    </r>
    <r>
      <rPr>
        <sz val="11"/>
        <color rgb="FFFF0000"/>
        <rFont val="Calibri"/>
        <family val="2"/>
        <scheme val="minor"/>
      </rPr>
      <t>120-200cm</t>
    </r>
  </si>
  <si>
    <r>
      <t xml:space="preserve">DYNA1N - noir
</t>
    </r>
    <r>
      <rPr>
        <sz val="11"/>
        <color rgb="FFFF0000"/>
        <rFont val="Calibri"/>
        <family val="2"/>
        <scheme val="minor"/>
      </rPr>
      <t>120-200cm</t>
    </r>
  </si>
  <si>
    <t>ET3-WH
ET223A(IB)</t>
  </si>
  <si>
    <t>Article proposé depuis 07.2022
Article a garder</t>
  </si>
  <si>
    <t xml:space="preserve">OFELIA
SUC010+SZZ101-A-C14GM8        
SUC010+SZZ101-A-C14GM8-2  </t>
  </si>
  <si>
    <t>Pas de prod similaire c/Ceha (dim. non similaires) /13.11 SR à 9 et attendre une vente pour réassortir l'article</t>
  </si>
  <si>
    <t>VIVA1N</t>
  </si>
  <si>
    <t>2 ventes de env 50pces</t>
  </si>
  <si>
    <t>15310601032
Porte-monteaux métalique 6 crochets</t>
  </si>
  <si>
    <t>19.11.24 :Ajuster le SR à 10 - se demander si une nvlle cde est nécessaire ou pas</t>
  </si>
  <si>
    <t>en vente depuis 06.2024 / par palette de 18pce</t>
  </si>
  <si>
    <t>6110146 MARKUS
640.118.2000</t>
  </si>
  <si>
    <t>6110146 (Mades)
640.118.2000 (Ceha)</t>
  </si>
  <si>
    <t>192491
Tableau blanc 1200x1800</t>
  </si>
  <si>
    <t>537542
Tableau blanc 1200x1800</t>
  </si>
  <si>
    <t>Tableau blanc 450x600
192217</t>
  </si>
  <si>
    <t>Tabeau blanc 600x900</t>
  </si>
  <si>
    <t>Qte optimale après réappro - 3 mois</t>
  </si>
  <si>
    <t>par 20 / 80 par palette
2024.08 : ATTENTION CHANGEMENT DE CADRE!!!!</t>
  </si>
  <si>
    <t>Seuil de réappro
8 mois</t>
  </si>
  <si>
    <t>CDE
stock 8 mois</t>
  </si>
  <si>
    <t>Attention article c/2 frns / si besoin descendre jusqu'à 5</t>
  </si>
  <si>
    <t>NOUVEL ARTICLE !!!!</t>
  </si>
  <si>
    <t>pour compléter le camion si besoin</t>
  </si>
  <si>
    <r>
      <t xml:space="preserve">Qte optimale après réappro </t>
    </r>
    <r>
      <rPr>
        <b/>
        <sz val="11"/>
        <color theme="0"/>
        <rFont val="Calibri"/>
        <family val="2"/>
        <scheme val="minor"/>
      </rPr>
      <t>5 mois</t>
    </r>
    <r>
      <rPr>
        <sz val="11"/>
        <color theme="0"/>
        <rFont val="Calibri"/>
        <family val="2"/>
        <scheme val="minor"/>
      </rPr>
      <t xml:space="preserve"> </t>
    </r>
  </si>
  <si>
    <r>
      <t xml:space="preserve">Seuil de réappro
</t>
    </r>
    <r>
      <rPr>
        <b/>
        <sz val="11"/>
        <color theme="0"/>
        <rFont val="Calibri"/>
        <family val="2"/>
        <scheme val="minor"/>
      </rPr>
      <t>3 mois</t>
    </r>
  </si>
  <si>
    <t>PSR532M1MX (PV165.-)</t>
  </si>
  <si>
    <t>Fiche électrique T12 blanche</t>
  </si>
  <si>
    <t>Fiche électrique T12 noire</t>
  </si>
  <si>
    <t>CLARA3N</t>
  </si>
  <si>
    <t>CLARA2N</t>
  </si>
  <si>
    <t>VS-105L</t>
  </si>
  <si>
    <t>KS105 sans freezer</t>
  </si>
  <si>
    <t>KS110 sans freezer</t>
  </si>
  <si>
    <t>2022-2024</t>
  </si>
  <si>
    <t>VM / an
2022-2024</t>
  </si>
  <si>
    <t>VM / mois
dès 2022</t>
  </si>
  <si>
    <t>NOTES :</t>
  </si>
  <si>
    <t>KLEIN - COMMANDE AVEC FRANCK CAR ILS SONT EMBOITEE / REF COMMUNE 61 10 130</t>
  </si>
  <si>
    <t>61 10 120 KLEIN1G</t>
  </si>
  <si>
    <t>61 10 120 KLEIN2G</t>
  </si>
  <si>
    <t>VM / mois
Dès 2022</t>
  </si>
  <si>
    <t>6111120 ROLITO1G</t>
  </si>
  <si>
    <t xml:space="preserve">Valoriser à </t>
  </si>
  <si>
    <t>ok?</t>
  </si>
  <si>
    <t>3 MOIS</t>
  </si>
  <si>
    <t>DNF632M1M1MQ</t>
  </si>
  <si>
    <t>utiliser l'article pour remplir le camion - si besoin</t>
  </si>
  <si>
    <t>07.01-&gt; SR à laisser tel quel - pour las louper des demandes - se poser la question si ventes / pour compléter camion</t>
  </si>
  <si>
    <t>07.01-&gt; SR plus bas car ventes en baisse</t>
  </si>
  <si>
    <t>6111100 ROLO1G</t>
  </si>
  <si>
    <t>6111100 ROLO2G</t>
  </si>
  <si>
    <t>07.01 -&gt; SR sur V2 revu à la baisse dû aux ventes de 2024</t>
  </si>
  <si>
    <t>projets à venir?? Monter le stock ou pas?</t>
  </si>
  <si>
    <t>Passer une cde ? Attendre solde stock DJP161-M1</t>
  </si>
  <si>
    <t xml:space="preserve"> + parties manquantes</t>
  </si>
  <si>
    <t>6017222 (old)
6017222-1 (new)</t>
  </si>
  <si>
    <t>RUBEN1C</t>
  </si>
  <si>
    <t>TYRION31G</t>
  </si>
  <si>
    <t>CARLOS1C</t>
  </si>
  <si>
    <t>JOSE1C</t>
  </si>
  <si>
    <t>ROBERTO1C</t>
  </si>
  <si>
    <t>RILEY2001B</t>
  </si>
  <si>
    <t>RILEY1001B</t>
  </si>
  <si>
    <t>07.01 -&gt; Commandes ponctuelles - mainetir stock bas</t>
  </si>
  <si>
    <t>ROCCO2002W
lisse bois 9 crochets</t>
  </si>
  <si>
    <t>ROCCO1002W
lisse bois 5 crochets</t>
  </si>
  <si>
    <t>ELENA1201G
750x1200x800</t>
  </si>
  <si>
    <t>GREG2002B
banc</t>
  </si>
  <si>
    <t>KAREN2N</t>
  </si>
  <si>
    <t>VM / mois
dès 01.22</t>
  </si>
  <si>
    <t>ALISSIA1N</t>
  </si>
  <si>
    <t>SARA3N</t>
  </si>
  <si>
    <t>SARA2N</t>
  </si>
  <si>
    <t>SARA4N</t>
  </si>
  <si>
    <t>LEA1N</t>
  </si>
  <si>
    <t>21.01 - Art désactivé pour la vente</t>
  </si>
  <si>
    <t>2024 : 1vente de 126pcs / vente par 10 ou plus
lot de combien?</t>
  </si>
  <si>
    <t>FRANK1G</t>
  </si>
  <si>
    <t>FRANK2G</t>
  </si>
  <si>
    <t>GREG1001B</t>
  </si>
  <si>
    <t>ELENA1401G</t>
  </si>
  <si>
    <t>CZM100M1M</t>
  </si>
  <si>
    <t>enlever le SR ?</t>
  </si>
  <si>
    <t>V20MX79-L</t>
  </si>
  <si>
    <t>019074</t>
  </si>
  <si>
    <t>Ajuster le SR à 12m ?</t>
  </si>
  <si>
    <t>28.01-&gt; SR corrigé</t>
  </si>
  <si>
    <t>28.01-&gt; ne plus les proposer en stock - uniquement sur demande!!</t>
  </si>
  <si>
    <r>
      <t xml:space="preserve">moyenne de vente 3pcs / 2020 1vente 38
</t>
    </r>
    <r>
      <rPr>
        <sz val="11"/>
        <color rgb="FFFF0000"/>
        <rFont val="Calibri"/>
        <family val="2"/>
        <scheme val="minor"/>
      </rPr>
      <t>28.01-&gt; ne plus les proposer en stock - uniquement sur demande!!</t>
    </r>
  </si>
  <si>
    <t>Besoin spécifique pour la vente? Sinon attendre
29.01-&gt; ok, attendre qu'il y ai des ventes</t>
  </si>
  <si>
    <t>ELENA 2011G - 2000X1000</t>
  </si>
  <si>
    <r>
      <t xml:space="preserve">DYNA1B - blanc
</t>
    </r>
    <r>
      <rPr>
        <sz val="11"/>
        <color rgb="FFFF0000"/>
        <rFont val="Calibri"/>
        <family val="2"/>
        <scheme val="minor"/>
      </rPr>
      <t>120-200cm</t>
    </r>
  </si>
  <si>
    <t>28.01-&gt; SR à 7 et voir en fonction des ventes (ventes début 2025 car action)
04.02-&gt; sortir cet article de la vente - supprimer le SR</t>
  </si>
  <si>
    <t>ELENA1601G</t>
  </si>
  <si>
    <t>2022 - 2024</t>
  </si>
  <si>
    <t>MILO1801G</t>
  </si>
  <si>
    <t>conditionné par 24 (5 sets de 24)</t>
  </si>
  <si>
    <t>2.5 m ois</t>
  </si>
  <si>
    <t>07.01 -&gt; SR à 35 et attendre prochaine vente pour évluer si nvelle cde
20.02 : 18 si vente ponctuelle / 36  si soutien des ventes</t>
  </si>
  <si>
    <t>12.2022-date</t>
  </si>
  <si>
    <t>Adaptateur noir</t>
  </si>
  <si>
    <t>Adaptateur blanc</t>
  </si>
  <si>
    <r>
      <rPr>
        <sz val="11"/>
        <color rgb="FFFF0000"/>
        <rFont val="Calibri"/>
        <family val="2"/>
        <scheme val="minor"/>
      </rPr>
      <t>OCC</t>
    </r>
    <r>
      <rPr>
        <sz val="11"/>
        <color theme="1"/>
        <rFont val="Calibri"/>
        <family val="2"/>
        <scheme val="minor"/>
      </rPr>
      <t xml:space="preserve">DJT100-E3FVA-CH </t>
    </r>
    <r>
      <rPr>
        <b/>
        <sz val="11"/>
        <color theme="1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 xml:space="preserve">
 </t>
    </r>
    <r>
      <rPr>
        <sz val="11"/>
        <color rgb="FFFF0000"/>
        <rFont val="Calibri"/>
        <family val="2"/>
        <scheme val="minor"/>
      </rPr>
      <t>120-160cm</t>
    </r>
  </si>
  <si>
    <t>353-4029</t>
  </si>
  <si>
    <t>434-3019-C2G</t>
  </si>
  <si>
    <t>12.22-ce jour</t>
  </si>
  <si>
    <t>Venise2G</t>
  </si>
  <si>
    <t>Venise1G</t>
  </si>
  <si>
    <t>2 mois</t>
  </si>
  <si>
    <t>2.5 mois</t>
  </si>
  <si>
    <t>02.2025 - article à désactiver</t>
  </si>
  <si>
    <t>02.2025 - reconstituer un stock de 3 pcs lors d'une prochaine commande</t>
  </si>
  <si>
    <t>DZR180</t>
  </si>
  <si>
    <t>article à désactiver dès le stock à zéro / 03.2025 : plus de plateau standard en stock car encore du DJP181. Une fois ce stock terminé, on commandera les DZR pour les châsis électriques</t>
  </si>
  <si>
    <t>Qte optimale après réappro 2 mois</t>
  </si>
  <si>
    <t>Seuil de réappro/3 mois</t>
  </si>
  <si>
    <t xml:space="preserve">Ne pas commander avant d'avoir liquidé le stock </t>
  </si>
  <si>
    <t>6111120 ROLITO2G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</si>
</sst>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_-[$€-2]\ * #,##0.00_-;\-[$€-2]\ * #,##0.00_-;_-[$€-2]\ * &quot;-&quot;??_-;_-@_-"/>
    <numFmt numFmtId="166" formatCode="_-[$$-409]* #,##0.00_ ;_-[$$-409]* \-#,##0.00\ ;_-[$$-409]* &quot;-&quot;??_ ;_-@_ "/>
    <numFmt numFmtId="167" formatCode="_-* #,##0.00\ [$fr.-100C]_-;\-* #,##0.00\ [$fr.-100C]_-;_-* &quot;-&quot;??\ [$fr.-100C]_-;_-@_-"/>
    <numFmt numFmtId="168" formatCode="00.00"/>
    <numFmt numFmtId="169" formatCode="_-* #,##0.00\ [$CHF]_-;\-* #,##0.00\ [$CHF]_-;_-* &quot;-&quot;??\ [$CHF]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9">
    <xf numFmtId="0" fontId="0" fillId="0" borderId="0" xfId="0"/>
    <xf numFmtId="0" fontId="0" fillId="3" borderId="0" xfId="0" applyFill="1"/>
    <xf numFmtId="0" fontId="0" fillId="3" borderId="2" xfId="0" applyFill="1" applyBorder="1"/>
    <xf numFmtId="0" fontId="0" fillId="3" borderId="8" xfId="0" applyFill="1" applyBorder="1"/>
    <xf numFmtId="0" fontId="1" fillId="3" borderId="9" xfId="0" applyFont="1" applyFill="1" applyBorder="1"/>
    <xf numFmtId="0" fontId="0" fillId="3" borderId="6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8" xfId="0" applyFill="1" applyBorder="1" applyAlignment="1">
      <alignment wrapText="1"/>
    </xf>
    <xf numFmtId="1" fontId="0" fillId="3" borderId="2" xfId="0" applyNumberFormat="1" applyFill="1" applyBorder="1"/>
    <xf numFmtId="0" fontId="0" fillId="3" borderId="16" xfId="0" applyFill="1" applyBorder="1" applyAlignment="1">
      <alignment vertical="top" wrapText="1"/>
    </xf>
    <xf numFmtId="0" fontId="0" fillId="3" borderId="17" xfId="0" applyFill="1" applyBorder="1"/>
    <xf numFmtId="0" fontId="3" fillId="4" borderId="4" xfId="0" applyFont="1" applyFill="1" applyBorder="1"/>
    <xf numFmtId="0" fontId="3" fillId="4" borderId="13" xfId="0" applyFont="1" applyFill="1" applyBorder="1"/>
    <xf numFmtId="0" fontId="3" fillId="4" borderId="12" xfId="0" applyFont="1" applyFill="1" applyBorder="1"/>
    <xf numFmtId="0" fontId="3" fillId="4" borderId="5" xfId="0" applyFont="1" applyFill="1" applyBorder="1"/>
    <xf numFmtId="0" fontId="0" fillId="3" borderId="20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1" fontId="0" fillId="3" borderId="1" xfId="0" applyNumberFormat="1" applyFill="1" applyBorder="1" applyAlignment="1">
      <alignment vertical="center"/>
    </xf>
    <xf numFmtId="0" fontId="1" fillId="3" borderId="7" xfId="0" applyFont="1" applyFill="1" applyBorder="1" applyAlignment="1">
      <alignment vertical="center" wrapText="1"/>
    </xf>
    <xf numFmtId="0" fontId="0" fillId="3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10" xfId="0" applyFill="1" applyBorder="1" applyAlignment="1">
      <alignment vertical="top" wrapText="1"/>
    </xf>
    <xf numFmtId="0" fontId="0" fillId="3" borderId="38" xfId="0" applyFill="1" applyBorder="1" applyAlignment="1">
      <alignment vertical="top" wrapText="1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1" fillId="3" borderId="11" xfId="0" applyFont="1" applyFill="1" applyBorder="1" applyAlignment="1">
      <alignment vertical="center" wrapText="1"/>
    </xf>
    <xf numFmtId="0" fontId="0" fillId="6" borderId="6" xfId="0" applyFill="1" applyBorder="1" applyAlignment="1">
      <alignment vertical="top"/>
    </xf>
    <xf numFmtId="0" fontId="0" fillId="6" borderId="7" xfId="0" applyFill="1" applyBorder="1" applyAlignment="1">
      <alignment vertical="top"/>
    </xf>
    <xf numFmtId="0" fontId="0" fillId="6" borderId="6" xfId="0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1" fontId="0" fillId="6" borderId="1" xfId="0" applyNumberFormat="1" applyFill="1" applyBorder="1" applyAlignment="1">
      <alignment vertical="center"/>
    </xf>
    <xf numFmtId="0" fontId="1" fillId="6" borderId="7" xfId="0" applyFont="1" applyFill="1" applyBorder="1" applyAlignment="1">
      <alignment vertical="center" wrapText="1"/>
    </xf>
    <xf numFmtId="0" fontId="0" fillId="3" borderId="0" xfId="0" applyFill="1" applyAlignment="1">
      <alignment horizontal="right" vertical="top"/>
    </xf>
    <xf numFmtId="1" fontId="0" fillId="3" borderId="39" xfId="0" applyNumberFormat="1" applyFill="1" applyBorder="1" applyAlignment="1">
      <alignment vertical="center"/>
    </xf>
    <xf numFmtId="0" fontId="0" fillId="3" borderId="2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39" xfId="0" applyFill="1" applyBorder="1" applyAlignment="1">
      <alignment vertical="top"/>
    </xf>
    <xf numFmtId="0" fontId="0" fillId="2" borderId="39" xfId="0" applyFill="1" applyBorder="1" applyAlignment="1">
      <alignment vertical="top"/>
    </xf>
    <xf numFmtId="0" fontId="0" fillId="3" borderId="42" xfId="0" applyFill="1" applyBorder="1" applyAlignment="1">
      <alignment vertical="top"/>
    </xf>
    <xf numFmtId="164" fontId="0" fillId="3" borderId="1" xfId="0" applyNumberFormat="1" applyFill="1" applyBorder="1" applyAlignment="1">
      <alignment horizontal="right" vertical="top"/>
    </xf>
    <xf numFmtId="164" fontId="0" fillId="3" borderId="7" xfId="0" applyNumberFormat="1" applyFill="1" applyBorder="1" applyAlignment="1">
      <alignment vertical="top"/>
    </xf>
    <xf numFmtId="164" fontId="0" fillId="3" borderId="20" xfId="0" applyNumberFormat="1" applyFill="1" applyBorder="1" applyAlignment="1">
      <alignment horizontal="right" vertical="top"/>
    </xf>
    <xf numFmtId="164" fontId="0" fillId="3" borderId="20" xfId="0" applyNumberFormat="1" applyFill="1" applyBorder="1" applyAlignment="1">
      <alignment vertical="top"/>
    </xf>
    <xf numFmtId="164" fontId="0" fillId="3" borderId="22" xfId="0" applyNumberFormat="1" applyFill="1" applyBorder="1" applyAlignment="1">
      <alignment vertical="top"/>
    </xf>
    <xf numFmtId="0" fontId="0" fillId="3" borderId="8" xfId="0" applyFill="1" applyBorder="1" applyAlignment="1">
      <alignment horizontal="left" vertical="top" wrapText="1"/>
    </xf>
    <xf numFmtId="1" fontId="0" fillId="3" borderId="7" xfId="0" applyNumberFormat="1" applyFill="1" applyBorder="1" applyAlignment="1">
      <alignment vertical="top"/>
    </xf>
    <xf numFmtId="1" fontId="0" fillId="3" borderId="22" xfId="0" applyNumberFormat="1" applyFill="1" applyBorder="1" applyAlignment="1">
      <alignment vertical="top"/>
    </xf>
    <xf numFmtId="1" fontId="0" fillId="3" borderId="42" xfId="0" applyNumberFormat="1" applyFill="1" applyBorder="1" applyAlignment="1">
      <alignment vertical="top"/>
    </xf>
    <xf numFmtId="0" fontId="0" fillId="3" borderId="0" xfId="0" applyFill="1" applyAlignment="1">
      <alignment horizontal="left"/>
    </xf>
    <xf numFmtId="0" fontId="3" fillId="4" borderId="4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0" fillId="3" borderId="41" xfId="0" applyFill="1" applyBorder="1" applyAlignment="1">
      <alignment horizontal="left" vertical="top" wrapText="1"/>
    </xf>
    <xf numFmtId="0" fontId="3" fillId="4" borderId="34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/>
    </xf>
    <xf numFmtId="0" fontId="3" fillId="4" borderId="39" xfId="0" applyFont="1" applyFill="1" applyBorder="1"/>
    <xf numFmtId="164" fontId="0" fillId="3" borderId="39" xfId="0" applyNumberFormat="1" applyFill="1" applyBorder="1" applyAlignment="1">
      <alignment vertical="top"/>
    </xf>
    <xf numFmtId="164" fontId="0" fillId="3" borderId="23" xfId="0" applyNumberFormat="1" applyFill="1" applyBorder="1" applyAlignment="1">
      <alignment vertical="top"/>
    </xf>
    <xf numFmtId="164" fontId="0" fillId="3" borderId="23" xfId="0" applyNumberFormat="1" applyFill="1" applyBorder="1" applyAlignment="1">
      <alignment horizontal="right" vertical="top"/>
    </xf>
    <xf numFmtId="0" fontId="0" fillId="2" borderId="23" xfId="0" applyFill="1" applyBorder="1" applyAlignment="1">
      <alignment vertical="top"/>
    </xf>
    <xf numFmtId="164" fontId="0" fillId="3" borderId="24" xfId="0" applyNumberFormat="1" applyFill="1" applyBorder="1" applyAlignment="1">
      <alignment vertical="top"/>
    </xf>
    <xf numFmtId="164" fontId="0" fillId="3" borderId="2" xfId="0" applyNumberFormat="1" applyFill="1" applyBorder="1" applyAlignment="1">
      <alignment vertical="top"/>
    </xf>
    <xf numFmtId="164" fontId="0" fillId="3" borderId="2" xfId="0" applyNumberFormat="1" applyFill="1" applyBorder="1" applyAlignment="1">
      <alignment horizontal="right" vertical="top"/>
    </xf>
    <xf numFmtId="164" fontId="0" fillId="3" borderId="9" xfId="0" applyNumberFormat="1" applyFill="1" applyBorder="1" applyAlignment="1">
      <alignment vertical="top"/>
    </xf>
    <xf numFmtId="0" fontId="2" fillId="3" borderId="40" xfId="0" applyFont="1" applyFill="1" applyBorder="1" applyAlignment="1">
      <alignment horizontal="left" vertical="top" wrapText="1"/>
    </xf>
    <xf numFmtId="0" fontId="2" fillId="3" borderId="41" xfId="0" applyFont="1" applyFill="1" applyBorder="1" applyAlignment="1">
      <alignment horizontal="left" vertical="top" wrapText="1"/>
    </xf>
    <xf numFmtId="0" fontId="2" fillId="3" borderId="39" xfId="0" applyFont="1" applyFill="1" applyBorder="1" applyAlignment="1">
      <alignment vertical="top"/>
    </xf>
    <xf numFmtId="0" fontId="3" fillId="4" borderId="5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/>
    </xf>
    <xf numFmtId="0" fontId="0" fillId="3" borderId="20" xfId="0" quotePrefix="1" applyFill="1" applyBorder="1" applyAlignment="1">
      <alignment horizontal="right" vertical="top"/>
    </xf>
    <xf numFmtId="1" fontId="2" fillId="3" borderId="42" xfId="0" applyNumberFormat="1" applyFont="1" applyFill="1" applyBorder="1" applyAlignment="1">
      <alignment vertical="top"/>
    </xf>
    <xf numFmtId="0" fontId="3" fillId="4" borderId="3" xfId="0" applyFont="1" applyFill="1" applyBorder="1" applyAlignment="1">
      <alignment horizontal="left" vertical="center"/>
    </xf>
    <xf numFmtId="0" fontId="0" fillId="3" borderId="33" xfId="0" applyFill="1" applyBorder="1" applyAlignment="1">
      <alignment horizontal="left" vertical="top" wrapText="1"/>
    </xf>
    <xf numFmtId="0" fontId="9" fillId="3" borderId="0" xfId="0" applyFont="1" applyFill="1" applyAlignment="1">
      <alignment horizontal="left"/>
    </xf>
    <xf numFmtId="164" fontId="0" fillId="3" borderId="3" xfId="0" applyNumberFormat="1" applyFill="1" applyBorder="1" applyAlignment="1">
      <alignment vertical="center"/>
    </xf>
    <xf numFmtId="164" fontId="0" fillId="3" borderId="23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vertical="top"/>
    </xf>
    <xf numFmtId="0" fontId="2" fillId="2" borderId="20" xfId="0" applyFont="1" applyFill="1" applyBorder="1" applyAlignment="1">
      <alignment vertical="top"/>
    </xf>
    <xf numFmtId="164" fontId="2" fillId="3" borderId="20" xfId="0" applyNumberFormat="1" applyFont="1" applyFill="1" applyBorder="1" applyAlignment="1">
      <alignment vertical="top"/>
    </xf>
    <xf numFmtId="164" fontId="2" fillId="3" borderId="20" xfId="0" applyNumberFormat="1" applyFont="1" applyFill="1" applyBorder="1" applyAlignment="1">
      <alignment horizontal="right" vertical="top"/>
    </xf>
    <xf numFmtId="164" fontId="2" fillId="3" borderId="22" xfId="0" applyNumberFormat="1" applyFont="1" applyFill="1" applyBorder="1" applyAlignment="1">
      <alignment vertical="top"/>
    </xf>
    <xf numFmtId="1" fontId="2" fillId="3" borderId="22" xfId="0" applyNumberFormat="1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0" fillId="3" borderId="2" xfId="0" applyFill="1" applyBorder="1" applyAlignment="1">
      <alignment horizontal="left" wrapText="1"/>
    </xf>
    <xf numFmtId="0" fontId="0" fillId="3" borderId="2" xfId="0" applyFill="1" applyBorder="1" applyAlignment="1">
      <alignment horizontal="left"/>
    </xf>
    <xf numFmtId="0" fontId="3" fillId="4" borderId="54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/>
    </xf>
    <xf numFmtId="0" fontId="3" fillId="4" borderId="28" xfId="0" applyFont="1" applyFill="1" applyBorder="1"/>
    <xf numFmtId="0" fontId="2" fillId="3" borderId="10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164" fontId="2" fillId="3" borderId="3" xfId="0" applyNumberFormat="1" applyFont="1" applyFill="1" applyBorder="1" applyAlignment="1">
      <alignment vertical="top"/>
    </xf>
    <xf numFmtId="164" fontId="2" fillId="3" borderId="3" xfId="0" applyNumberFormat="1" applyFont="1" applyFill="1" applyBorder="1" applyAlignment="1">
      <alignment horizontal="right" vertical="top"/>
    </xf>
    <xf numFmtId="1" fontId="0" fillId="3" borderId="52" xfId="0" applyNumberFormat="1" applyFill="1" applyBorder="1" applyAlignment="1">
      <alignment vertical="top"/>
    </xf>
    <xf numFmtId="1" fontId="0" fillId="3" borderId="27" xfId="0" applyNumberFormat="1" applyFill="1" applyBorder="1" applyAlignment="1">
      <alignment vertical="top"/>
    </xf>
    <xf numFmtId="1" fontId="2" fillId="3" borderId="55" xfId="0" applyNumberFormat="1" applyFont="1" applyFill="1" applyBorder="1" applyAlignment="1">
      <alignment vertical="top"/>
    </xf>
    <xf numFmtId="164" fontId="2" fillId="3" borderId="11" xfId="0" applyNumberFormat="1" applyFont="1" applyFill="1" applyBorder="1" applyAlignment="1">
      <alignment vertical="top"/>
    </xf>
    <xf numFmtId="0" fontId="0" fillId="3" borderId="18" xfId="0" applyFont="1" applyFill="1" applyBorder="1" applyAlignment="1">
      <alignment horizontal="left" vertical="top" wrapText="1"/>
    </xf>
    <xf numFmtId="1" fontId="0" fillId="3" borderId="22" xfId="0" applyNumberFormat="1" applyFont="1" applyFill="1" applyBorder="1" applyAlignment="1">
      <alignment vertical="top"/>
    </xf>
    <xf numFmtId="0" fontId="0" fillId="3" borderId="0" xfId="0" applyFont="1" applyFill="1" applyAlignment="1">
      <alignment vertical="top"/>
    </xf>
    <xf numFmtId="164" fontId="0" fillId="3" borderId="39" xfId="0" applyNumberFormat="1" applyFill="1" applyBorder="1" applyAlignment="1">
      <alignment horizontal="right" vertical="top"/>
    </xf>
    <xf numFmtId="164" fontId="0" fillId="3" borderId="42" xfId="0" applyNumberFormat="1" applyFill="1" applyBorder="1" applyAlignment="1">
      <alignment vertical="top"/>
    </xf>
    <xf numFmtId="1" fontId="0" fillId="3" borderId="1" xfId="0" applyNumberFormat="1" applyFill="1" applyBorder="1" applyAlignment="1">
      <alignment vertical="top"/>
    </xf>
    <xf numFmtId="1" fontId="0" fillId="3" borderId="20" xfId="0" applyNumberFormat="1" applyFill="1" applyBorder="1" applyAlignment="1">
      <alignment vertical="top"/>
    </xf>
    <xf numFmtId="1" fontId="0" fillId="3" borderId="20" xfId="0" applyNumberFormat="1" applyFill="1" applyBorder="1" applyAlignment="1">
      <alignment horizontal="right" vertical="top"/>
    </xf>
    <xf numFmtId="1" fontId="2" fillId="3" borderId="39" xfId="0" applyNumberFormat="1" applyFont="1" applyFill="1" applyBorder="1" applyAlignment="1">
      <alignment vertical="top"/>
    </xf>
    <xf numFmtId="0" fontId="3" fillId="4" borderId="23" xfId="0" applyFont="1" applyFill="1" applyBorder="1" applyAlignment="1">
      <alignment vertical="center" wrapText="1"/>
    </xf>
    <xf numFmtId="0" fontId="1" fillId="3" borderId="0" xfId="0" applyFont="1" applyFill="1"/>
    <xf numFmtId="0" fontId="0" fillId="3" borderId="8" xfId="0" applyFont="1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16" xfId="0" applyFill="1" applyBorder="1"/>
    <xf numFmtId="0" fontId="2" fillId="6" borderId="40" xfId="0" applyFont="1" applyFill="1" applyBorder="1" applyAlignment="1">
      <alignment vertical="top" wrapText="1"/>
    </xf>
    <xf numFmtId="0" fontId="2" fillId="6" borderId="41" xfId="0" applyFont="1" applyFill="1" applyBorder="1" applyAlignment="1">
      <alignment vertical="top" wrapText="1"/>
    </xf>
    <xf numFmtId="0" fontId="2" fillId="6" borderId="39" xfId="0" applyFont="1" applyFill="1" applyBorder="1" applyAlignment="1">
      <alignment vertical="top"/>
    </xf>
    <xf numFmtId="1" fontId="2" fillId="6" borderId="39" xfId="0" applyNumberFormat="1" applyFont="1" applyFill="1" applyBorder="1" applyAlignment="1">
      <alignment horizontal="right" vertical="top"/>
    </xf>
    <xf numFmtId="0" fontId="3" fillId="10" borderId="12" xfId="0" applyFont="1" applyFill="1" applyBorder="1"/>
    <xf numFmtId="0" fontId="0" fillId="10" borderId="1" xfId="0" applyFill="1" applyBorder="1" applyAlignment="1">
      <alignment vertical="top"/>
    </xf>
    <xf numFmtId="0" fontId="0" fillId="10" borderId="20" xfId="0" applyFill="1" applyBorder="1" applyAlignment="1">
      <alignment vertical="top"/>
    </xf>
    <xf numFmtId="0" fontId="2" fillId="10" borderId="39" xfId="0" applyFont="1" applyFill="1" applyBorder="1" applyAlignment="1">
      <alignment vertical="top"/>
    </xf>
    <xf numFmtId="0" fontId="0" fillId="10" borderId="2" xfId="0" applyFill="1" applyBorder="1"/>
    <xf numFmtId="0" fontId="0" fillId="10" borderId="1" xfId="0" applyFill="1" applyBorder="1"/>
    <xf numFmtId="0" fontId="3" fillId="4" borderId="44" xfId="0" applyFont="1" applyFill="1" applyBorder="1"/>
    <xf numFmtId="0" fontId="0" fillId="3" borderId="14" xfId="0" applyFill="1" applyBorder="1" applyAlignment="1">
      <alignment vertical="top"/>
    </xf>
    <xf numFmtId="0" fontId="2" fillId="6" borderId="56" xfId="0" applyFont="1" applyFill="1" applyBorder="1" applyAlignment="1">
      <alignment vertical="top"/>
    </xf>
    <xf numFmtId="0" fontId="0" fillId="3" borderId="15" xfId="0" applyFill="1" applyBorder="1"/>
    <xf numFmtId="0" fontId="0" fillId="3" borderId="14" xfId="0" applyFill="1" applyBorder="1"/>
    <xf numFmtId="0" fontId="3" fillId="4" borderId="45" xfId="0" applyFont="1" applyFill="1" applyBorder="1"/>
    <xf numFmtId="0" fontId="0" fillId="3" borderId="16" xfId="0" applyFill="1" applyBorder="1" applyAlignment="1">
      <alignment vertical="top"/>
    </xf>
    <xf numFmtId="0" fontId="2" fillId="6" borderId="41" xfId="0" applyFont="1" applyFill="1" applyBorder="1" applyAlignment="1">
      <alignment vertical="top"/>
    </xf>
    <xf numFmtId="0" fontId="0" fillId="10" borderId="20" xfId="0" applyFill="1" applyBorder="1" applyAlignment="1">
      <alignment horizontal="center" vertical="top" wrapText="1"/>
    </xf>
    <xf numFmtId="0" fontId="0" fillId="10" borderId="29" xfId="0" applyFill="1" applyBorder="1" applyAlignment="1">
      <alignment horizontal="center" vertical="top" wrapText="1"/>
    </xf>
    <xf numFmtId="0" fontId="1" fillId="3" borderId="2" xfId="0" applyFont="1" applyFill="1" applyBorder="1"/>
    <xf numFmtId="0" fontId="0" fillId="10" borderId="3" xfId="0" applyFill="1" applyBorder="1"/>
    <xf numFmtId="164" fontId="1" fillId="3" borderId="2" xfId="0" applyNumberFormat="1" applyFont="1" applyFill="1" applyBorder="1" applyAlignment="1">
      <alignment vertical="top"/>
    </xf>
    <xf numFmtId="164" fontId="0" fillId="3" borderId="29" xfId="0" applyNumberFormat="1" applyFill="1" applyBorder="1" applyAlignment="1">
      <alignment vertical="top"/>
    </xf>
    <xf numFmtId="164" fontId="0" fillId="3" borderId="29" xfId="0" applyNumberFormat="1" applyFill="1" applyBorder="1" applyAlignment="1">
      <alignment horizontal="right" vertical="top"/>
    </xf>
    <xf numFmtId="164" fontId="1" fillId="3" borderId="23" xfId="0" applyNumberFormat="1" applyFont="1" applyFill="1" applyBorder="1" applyAlignment="1">
      <alignment vertical="top"/>
    </xf>
    <xf numFmtId="0" fontId="2" fillId="3" borderId="0" xfId="0" applyFont="1" applyFill="1"/>
    <xf numFmtId="0" fontId="4" fillId="8" borderId="47" xfId="0" applyFont="1" applyFill="1" applyBorder="1" applyAlignment="1">
      <alignment vertical="center"/>
    </xf>
    <xf numFmtId="0" fontId="4" fillId="8" borderId="16" xfId="0" applyFont="1" applyFill="1" applyBorder="1" applyAlignment="1">
      <alignment vertical="center"/>
    </xf>
    <xf numFmtId="0" fontId="3" fillId="4" borderId="14" xfId="0" applyFont="1" applyFill="1" applyBorder="1" applyAlignment="1"/>
    <xf numFmtId="0" fontId="3" fillId="4" borderId="48" xfId="0" applyFont="1" applyFill="1" applyBorder="1" applyAlignment="1"/>
    <xf numFmtId="0" fontId="3" fillId="4" borderId="16" xfId="0" applyFont="1" applyFill="1" applyBorder="1" applyAlignment="1"/>
    <xf numFmtId="0" fontId="3" fillId="4" borderId="23" xfId="0" applyFont="1" applyFill="1" applyBorder="1" applyAlignment="1"/>
    <xf numFmtId="0" fontId="3" fillId="4" borderId="39" xfId="0" applyFont="1" applyFill="1" applyBorder="1" applyAlignment="1"/>
    <xf numFmtId="0" fontId="3" fillId="4" borderId="23" xfId="0" applyFont="1" applyFill="1" applyBorder="1" applyAlignment="1">
      <alignment wrapText="1"/>
    </xf>
    <xf numFmtId="0" fontId="3" fillId="4" borderId="39" xfId="0" applyFont="1" applyFill="1" applyBorder="1" applyAlignment="1">
      <alignment wrapText="1"/>
    </xf>
    <xf numFmtId="0" fontId="1" fillId="3" borderId="8" xfId="0" applyFont="1" applyFill="1" applyBorder="1"/>
    <xf numFmtId="0" fontId="1" fillId="3" borderId="20" xfId="0" applyFont="1" applyFill="1" applyBorder="1" applyAlignment="1">
      <alignment vertical="top"/>
    </xf>
    <xf numFmtId="0" fontId="1" fillId="2" borderId="20" xfId="0" applyFont="1" applyFill="1" applyBorder="1" applyAlignment="1">
      <alignment vertical="top"/>
    </xf>
    <xf numFmtId="1" fontId="1" fillId="3" borderId="22" xfId="0" applyNumberFormat="1" applyFont="1" applyFill="1" applyBorder="1" applyAlignment="1">
      <alignment vertical="top"/>
    </xf>
    <xf numFmtId="1" fontId="2" fillId="3" borderId="3" xfId="0" applyNumberFormat="1" applyFont="1" applyFill="1" applyBorder="1" applyAlignment="1">
      <alignment vertical="top"/>
    </xf>
    <xf numFmtId="0" fontId="2" fillId="3" borderId="38" xfId="0" applyFont="1" applyFill="1" applyBorder="1" applyAlignment="1">
      <alignment horizontal="left" vertical="top" wrapText="1"/>
    </xf>
    <xf numFmtId="1" fontId="2" fillId="3" borderId="11" xfId="0" applyNumberFormat="1" applyFont="1" applyFill="1" applyBorder="1" applyAlignment="1">
      <alignment vertical="top"/>
    </xf>
    <xf numFmtId="1" fontId="0" fillId="3" borderId="1" xfId="0" applyNumberFormat="1" applyFill="1" applyBorder="1" applyAlignment="1">
      <alignment horizontal="right" vertical="top"/>
    </xf>
    <xf numFmtId="1" fontId="0" fillId="2" borderId="1" xfId="0" applyNumberFormat="1" applyFill="1" applyBorder="1" applyAlignment="1">
      <alignment vertical="top"/>
    </xf>
    <xf numFmtId="1" fontId="0" fillId="2" borderId="20" xfId="0" applyNumberFormat="1" applyFill="1" applyBorder="1" applyAlignment="1">
      <alignment vertical="top"/>
    </xf>
    <xf numFmtId="1" fontId="2" fillId="3" borderId="3" xfId="0" applyNumberFormat="1" applyFont="1" applyFill="1" applyBorder="1" applyAlignment="1">
      <alignment horizontal="right" vertical="top"/>
    </xf>
    <xf numFmtId="1" fontId="2" fillId="2" borderId="3" xfId="0" applyNumberFormat="1" applyFont="1" applyFill="1" applyBorder="1" applyAlignment="1">
      <alignment vertical="top"/>
    </xf>
    <xf numFmtId="164" fontId="0" fillId="3" borderId="61" xfId="0" applyNumberFormat="1" applyFill="1" applyBorder="1" applyAlignment="1">
      <alignment vertical="top" wrapText="1"/>
    </xf>
    <xf numFmtId="164" fontId="0" fillId="3" borderId="60" xfId="0" applyNumberFormat="1" applyFill="1" applyBorder="1" applyAlignment="1">
      <alignment vertical="top" wrapText="1"/>
    </xf>
    <xf numFmtId="0" fontId="0" fillId="3" borderId="54" xfId="0" applyFill="1" applyBorder="1"/>
    <xf numFmtId="0" fontId="0" fillId="3" borderId="28" xfId="0" applyFill="1" applyBorder="1" applyAlignment="1">
      <alignment horizontal="left"/>
    </xf>
    <xf numFmtId="0" fontId="0" fillId="3" borderId="28" xfId="0" applyFill="1" applyBorder="1"/>
    <xf numFmtId="0" fontId="0" fillId="2" borderId="29" xfId="0" applyFill="1" applyBorder="1" applyAlignment="1">
      <alignment vertical="top"/>
    </xf>
    <xf numFmtId="0" fontId="0" fillId="3" borderId="29" xfId="0" applyFill="1" applyBorder="1" applyAlignment="1">
      <alignment vertical="top"/>
    </xf>
    <xf numFmtId="164" fontId="0" fillId="3" borderId="25" xfId="0" applyNumberFormat="1" applyFill="1" applyBorder="1" applyAlignment="1">
      <alignment vertical="top"/>
    </xf>
    <xf numFmtId="1" fontId="0" fillId="3" borderId="25" xfId="0" applyNumberFormat="1" applyFill="1" applyBorder="1" applyAlignment="1">
      <alignment vertical="top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0" xfId="0" applyFill="1" applyAlignment="1"/>
    <xf numFmtId="0" fontId="0" fillId="3" borderId="2" xfId="0" applyFill="1" applyBorder="1" applyAlignment="1"/>
    <xf numFmtId="0" fontId="0" fillId="2" borderId="20" xfId="0" applyFill="1" applyBorder="1" applyAlignment="1"/>
    <xf numFmtId="0" fontId="0" fillId="3" borderId="20" xfId="0" applyFill="1" applyBorder="1" applyAlignment="1"/>
    <xf numFmtId="164" fontId="0" fillId="3" borderId="20" xfId="0" applyNumberFormat="1" applyFill="1" applyBorder="1" applyAlignment="1"/>
    <xf numFmtId="164" fontId="0" fillId="3" borderId="20" xfId="0" applyNumberFormat="1" applyFill="1" applyBorder="1" applyAlignment="1">
      <alignment horizontal="right"/>
    </xf>
    <xf numFmtId="164" fontId="0" fillId="3" borderId="22" xfId="0" applyNumberFormat="1" applyFill="1" applyBorder="1" applyAlignment="1"/>
    <xf numFmtId="1" fontId="0" fillId="3" borderId="22" xfId="0" applyNumberFormat="1" applyFill="1" applyBorder="1" applyAlignment="1"/>
    <xf numFmtId="0" fontId="0" fillId="3" borderId="8" xfId="0" applyFill="1" applyBorder="1" applyAlignment="1"/>
    <xf numFmtId="0" fontId="0" fillId="3" borderId="8" xfId="0" applyFill="1" applyBorder="1" applyAlignment="1">
      <alignment horizontal="left" wrapText="1"/>
    </xf>
    <xf numFmtId="0" fontId="0" fillId="3" borderId="2" xfId="0" applyFont="1" applyFill="1" applyBorder="1" applyAlignment="1">
      <alignment horizontal="left" wrapText="1"/>
    </xf>
    <xf numFmtId="0" fontId="0" fillId="3" borderId="18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3" fillId="4" borderId="12" xfId="0" applyFont="1" applyFill="1" applyBorder="1" applyAlignment="1">
      <alignment wrapText="1"/>
    </xf>
    <xf numFmtId="14" fontId="0" fillId="3" borderId="0" xfId="0" applyNumberFormat="1" applyFill="1" applyAlignment="1">
      <alignment horizontal="left"/>
    </xf>
    <xf numFmtId="0" fontId="0" fillId="3" borderId="2" xfId="0" quotePrefix="1" applyFill="1" applyBorder="1" applyAlignment="1">
      <alignment horizontal="left" vertical="top" wrapText="1"/>
    </xf>
    <xf numFmtId="0" fontId="4" fillId="3" borderId="8" xfId="0" applyFont="1" applyFill="1" applyBorder="1"/>
    <xf numFmtId="0" fontId="4" fillId="3" borderId="2" xfId="0" applyFont="1" applyFill="1" applyBorder="1"/>
    <xf numFmtId="0" fontId="4" fillId="3" borderId="20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1" fontId="4" fillId="3" borderId="22" xfId="0" applyNumberFormat="1" applyFont="1" applyFill="1" applyBorder="1" applyAlignment="1">
      <alignment vertical="top"/>
    </xf>
    <xf numFmtId="1" fontId="0" fillId="12" borderId="22" xfId="0" applyNumberFormat="1" applyFill="1" applyBorder="1" applyAlignment="1">
      <alignment vertical="top"/>
    </xf>
    <xf numFmtId="0" fontId="4" fillId="3" borderId="18" xfId="0" applyFont="1" applyFill="1" applyBorder="1" applyAlignment="1">
      <alignment horizontal="left" wrapText="1"/>
    </xf>
    <xf numFmtId="0" fontId="0" fillId="3" borderId="3" xfId="0" applyFill="1" applyBorder="1" applyAlignment="1">
      <alignment horizontal="left" vertical="top" wrapText="1"/>
    </xf>
    <xf numFmtId="0" fontId="0" fillId="3" borderId="0" xfId="0" applyFill="1" applyAlignment="1">
      <alignment horizontal="right"/>
    </xf>
    <xf numFmtId="14" fontId="0" fillId="3" borderId="0" xfId="0" applyNumberFormat="1" applyFill="1"/>
    <xf numFmtId="0" fontId="2" fillId="3" borderId="16" xfId="0" applyFont="1" applyFill="1" applyBorder="1" applyAlignment="1">
      <alignment horizontal="left" vertical="top" wrapText="1"/>
    </xf>
    <xf numFmtId="0" fontId="2" fillId="3" borderId="49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164" fontId="2" fillId="3" borderId="0" xfId="0" applyNumberFormat="1" applyFont="1" applyFill="1" applyBorder="1" applyAlignment="1">
      <alignment vertical="top"/>
    </xf>
    <xf numFmtId="164" fontId="2" fillId="3" borderId="0" xfId="0" applyNumberFormat="1" applyFont="1" applyFill="1" applyBorder="1" applyAlignment="1">
      <alignment horizontal="right" vertical="top"/>
    </xf>
    <xf numFmtId="1" fontId="2" fillId="3" borderId="31" xfId="0" applyNumberFormat="1" applyFont="1" applyFill="1" applyBorder="1" applyAlignment="1">
      <alignment vertical="top"/>
    </xf>
    <xf numFmtId="1" fontId="10" fillId="6" borderId="36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wrapText="1"/>
    </xf>
    <xf numFmtId="0" fontId="2" fillId="10" borderId="12" xfId="0" applyFont="1" applyFill="1" applyBorder="1" applyAlignment="1">
      <alignment vertical="top"/>
    </xf>
    <xf numFmtId="1" fontId="10" fillId="6" borderId="59" xfId="0" applyNumberFormat="1" applyFont="1" applyFill="1" applyBorder="1" applyAlignment="1">
      <alignment horizontal="right" vertical="center" wrapText="1"/>
    </xf>
    <xf numFmtId="0" fontId="0" fillId="3" borderId="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1" fontId="10" fillId="6" borderId="42" xfId="0" applyNumberFormat="1" applyFont="1" applyFill="1" applyBorder="1" applyAlignment="1">
      <alignment horizontal="right" vertical="center" wrapText="1"/>
    </xf>
    <xf numFmtId="0" fontId="0" fillId="3" borderId="6" xfId="0" quotePrefix="1" applyFill="1" applyBorder="1" applyAlignment="1">
      <alignment horizontal="left" vertical="top" wrapText="1"/>
    </xf>
    <xf numFmtId="1" fontId="0" fillId="3" borderId="22" xfId="0" applyNumberFormat="1" applyFill="1" applyBorder="1" applyAlignment="1">
      <alignment vertical="top" wrapText="1"/>
    </xf>
    <xf numFmtId="0" fontId="3" fillId="4" borderId="58" xfId="0" applyFont="1" applyFill="1" applyBorder="1" applyAlignment="1">
      <alignment vertical="top" wrapText="1"/>
    </xf>
    <xf numFmtId="0" fontId="3" fillId="4" borderId="39" xfId="0" applyFont="1" applyFill="1" applyBorder="1" applyAlignment="1">
      <alignment vertical="top" wrapText="1"/>
    </xf>
    <xf numFmtId="0" fontId="3" fillId="4" borderId="29" xfId="0" applyFont="1" applyFill="1" applyBorder="1" applyAlignment="1">
      <alignment vertical="top" wrapText="1"/>
    </xf>
    <xf numFmtId="0" fontId="3" fillId="4" borderId="56" xfId="0" applyFont="1" applyFill="1" applyBorder="1" applyAlignment="1">
      <alignment vertical="top" wrapText="1"/>
    </xf>
    <xf numFmtId="0" fontId="0" fillId="3" borderId="49" xfId="0" applyFill="1" applyBorder="1" applyAlignment="1">
      <alignment vertical="top"/>
    </xf>
    <xf numFmtId="0" fontId="0" fillId="3" borderId="4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50" xfId="0" applyFill="1" applyBorder="1" applyAlignment="1">
      <alignment horizontal="center" vertical="top" wrapText="1"/>
    </xf>
    <xf numFmtId="0" fontId="0" fillId="3" borderId="53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1" fontId="0" fillId="3" borderId="22" xfId="0" applyNumberFormat="1" applyFill="1" applyBorder="1" applyAlignment="1">
      <alignment horizontal="right"/>
    </xf>
    <xf numFmtId="0" fontId="0" fillId="3" borderId="0" xfId="0" applyFill="1" applyBorder="1" applyAlignment="1">
      <alignment vertical="top"/>
    </xf>
    <xf numFmtId="0" fontId="0" fillId="3" borderId="31" xfId="0" applyFill="1" applyBorder="1" applyAlignment="1">
      <alignment vertical="top"/>
    </xf>
    <xf numFmtId="0" fontId="0" fillId="13" borderId="18" xfId="0" applyFill="1" applyBorder="1" applyAlignment="1">
      <alignment horizontal="left" vertical="top" wrapText="1"/>
    </xf>
    <xf numFmtId="0" fontId="0" fillId="13" borderId="19" xfId="0" applyFill="1" applyBorder="1" applyAlignment="1">
      <alignment horizontal="left" vertical="top" wrapText="1"/>
    </xf>
    <xf numFmtId="0" fontId="0" fillId="13" borderId="20" xfId="0" applyFill="1" applyBorder="1" applyAlignment="1">
      <alignment vertical="top"/>
    </xf>
    <xf numFmtId="164" fontId="0" fillId="13" borderId="20" xfId="0" applyNumberFormat="1" applyFill="1" applyBorder="1" applyAlignment="1">
      <alignment vertical="top"/>
    </xf>
    <xf numFmtId="164" fontId="0" fillId="13" borderId="20" xfId="0" applyNumberFormat="1" applyFill="1" applyBorder="1" applyAlignment="1">
      <alignment horizontal="right" vertical="top"/>
    </xf>
    <xf numFmtId="164" fontId="0" fillId="13" borderId="22" xfId="0" applyNumberFormat="1" applyFill="1" applyBorder="1" applyAlignment="1">
      <alignment vertical="top"/>
    </xf>
    <xf numFmtId="1" fontId="0" fillId="13" borderId="22" xfId="0" applyNumberFormat="1" applyFill="1" applyBorder="1" applyAlignment="1">
      <alignment vertical="top"/>
    </xf>
    <xf numFmtId="0" fontId="2" fillId="13" borderId="40" xfId="0" applyFont="1" applyFill="1" applyBorder="1" applyAlignment="1">
      <alignment horizontal="left" vertical="top" wrapText="1"/>
    </xf>
    <xf numFmtId="0" fontId="2" fillId="13" borderId="41" xfId="0" applyFont="1" applyFill="1" applyBorder="1" applyAlignment="1">
      <alignment horizontal="left" vertical="top" wrapText="1"/>
    </xf>
    <xf numFmtId="0" fontId="2" fillId="13" borderId="39" xfId="0" applyFont="1" applyFill="1" applyBorder="1" applyAlignment="1">
      <alignment vertical="top"/>
    </xf>
    <xf numFmtId="164" fontId="2" fillId="13" borderId="39" xfId="0" applyNumberFormat="1" applyFont="1" applyFill="1" applyBorder="1" applyAlignment="1">
      <alignment vertical="top"/>
    </xf>
    <xf numFmtId="164" fontId="2" fillId="13" borderId="39" xfId="0" applyNumberFormat="1" applyFont="1" applyFill="1" applyBorder="1" applyAlignment="1">
      <alignment horizontal="right" vertical="top"/>
    </xf>
    <xf numFmtId="164" fontId="2" fillId="13" borderId="42" xfId="0" applyNumberFormat="1" applyFont="1" applyFill="1" applyBorder="1" applyAlignment="1">
      <alignment vertical="top"/>
    </xf>
    <xf numFmtId="1" fontId="2" fillId="13" borderId="42" xfId="0" applyNumberFormat="1" applyFont="1" applyFill="1" applyBorder="1" applyAlignment="1">
      <alignment vertical="top"/>
    </xf>
    <xf numFmtId="0" fontId="0" fillId="3" borderId="10" xfId="0" applyFill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164" fontId="0" fillId="3" borderId="3" xfId="0" applyNumberFormat="1" applyFill="1" applyBorder="1" applyAlignment="1">
      <alignment vertical="top"/>
    </xf>
    <xf numFmtId="164" fontId="0" fillId="3" borderId="3" xfId="0" applyNumberFormat="1" applyFill="1" applyBorder="1" applyAlignment="1">
      <alignment horizontal="right" vertical="top"/>
    </xf>
    <xf numFmtId="164" fontId="0" fillId="3" borderId="11" xfId="0" applyNumberFormat="1" applyFill="1" applyBorder="1" applyAlignment="1">
      <alignment vertical="top"/>
    </xf>
    <xf numFmtId="1" fontId="0" fillId="3" borderId="11" xfId="0" applyNumberFormat="1" applyFill="1" applyBorder="1" applyAlignment="1">
      <alignment vertical="top"/>
    </xf>
    <xf numFmtId="0" fontId="0" fillId="3" borderId="5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4" fillId="3" borderId="6" xfId="0" applyFont="1" applyFill="1" applyBorder="1"/>
    <xf numFmtId="0" fontId="4" fillId="3" borderId="16" xfId="0" applyFont="1" applyFill="1" applyBorder="1"/>
    <xf numFmtId="0" fontId="4" fillId="3" borderId="1" xfId="0" applyFont="1" applyFill="1" applyBorder="1"/>
    <xf numFmtId="0" fontId="4" fillId="3" borderId="14" xfId="0" applyFont="1" applyFill="1" applyBorder="1"/>
    <xf numFmtId="0" fontId="4" fillId="10" borderId="1" xfId="0" applyFont="1" applyFill="1" applyBorder="1"/>
    <xf numFmtId="0" fontId="4" fillId="3" borderId="17" xfId="0" applyFont="1" applyFill="1" applyBorder="1"/>
    <xf numFmtId="0" fontId="4" fillId="3" borderId="15" xfId="0" applyFont="1" applyFill="1" applyBorder="1"/>
    <xf numFmtId="0" fontId="4" fillId="10" borderId="2" xfId="0" applyFont="1" applyFill="1" applyBorder="1"/>
    <xf numFmtId="0" fontId="8" fillId="6" borderId="40" xfId="0" applyFont="1" applyFill="1" applyBorder="1" applyAlignment="1">
      <alignment vertical="top" wrapText="1"/>
    </xf>
    <xf numFmtId="0" fontId="8" fillId="6" borderId="41" xfId="0" applyFont="1" applyFill="1" applyBorder="1" applyAlignment="1">
      <alignment vertical="top" wrapText="1"/>
    </xf>
    <xf numFmtId="0" fontId="8" fillId="6" borderId="39" xfId="0" applyFont="1" applyFill="1" applyBorder="1" applyAlignment="1">
      <alignment vertical="top"/>
    </xf>
    <xf numFmtId="0" fontId="8" fillId="6" borderId="56" xfId="0" applyFont="1" applyFill="1" applyBorder="1" applyAlignment="1">
      <alignment vertical="top"/>
    </xf>
    <xf numFmtId="0" fontId="8" fillId="10" borderId="39" xfId="0" applyFont="1" applyFill="1" applyBorder="1" applyAlignment="1">
      <alignment vertical="top"/>
    </xf>
    <xf numFmtId="0" fontId="8" fillId="6" borderId="41" xfId="0" applyFont="1" applyFill="1" applyBorder="1" applyAlignment="1">
      <alignment vertical="top"/>
    </xf>
    <xf numFmtId="1" fontId="8" fillId="6" borderId="35" xfId="0" applyNumberFormat="1" applyFont="1" applyFill="1" applyBorder="1" applyAlignment="1">
      <alignment horizontal="right" vertical="center"/>
    </xf>
    <xf numFmtId="1" fontId="8" fillId="6" borderId="3" xfId="0" applyNumberFormat="1" applyFont="1" applyFill="1" applyBorder="1" applyAlignment="1">
      <alignment horizontal="right" vertical="center"/>
    </xf>
    <xf numFmtId="1" fontId="8" fillId="6" borderId="39" xfId="0" applyNumberFormat="1" applyFont="1" applyFill="1" applyBorder="1" applyAlignment="1">
      <alignment horizontal="right" vertical="top"/>
    </xf>
    <xf numFmtId="1" fontId="8" fillId="6" borderId="36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47" xfId="0" applyFont="1" applyFill="1" applyBorder="1"/>
    <xf numFmtId="0" fontId="4" fillId="3" borderId="26" xfId="0" applyFont="1" applyFill="1" applyBorder="1"/>
    <xf numFmtId="0" fontId="8" fillId="6" borderId="58" xfId="0" applyFont="1" applyFill="1" applyBorder="1" applyAlignment="1">
      <alignment vertical="top" wrapText="1"/>
    </xf>
    <xf numFmtId="0" fontId="8" fillId="6" borderId="45" xfId="0" applyFont="1" applyFill="1" applyBorder="1" applyAlignment="1">
      <alignment vertical="top" wrapText="1"/>
    </xf>
    <xf numFmtId="0" fontId="8" fillId="6" borderId="12" xfId="0" applyFont="1" applyFill="1" applyBorder="1" applyAlignment="1">
      <alignment vertical="top"/>
    </xf>
    <xf numFmtId="0" fontId="8" fillId="6" borderId="44" xfId="0" applyFont="1" applyFill="1" applyBorder="1" applyAlignment="1">
      <alignment vertical="top"/>
    </xf>
    <xf numFmtId="0" fontId="8" fillId="10" borderId="12" xfId="0" applyFont="1" applyFill="1" applyBorder="1" applyAlignment="1">
      <alignment vertical="top"/>
    </xf>
    <xf numFmtId="0" fontId="8" fillId="6" borderId="45" xfId="0" applyFont="1" applyFill="1" applyBorder="1" applyAlignment="1">
      <alignment vertical="top"/>
    </xf>
    <xf numFmtId="0" fontId="4" fillId="3" borderId="43" xfId="0" applyFont="1" applyFill="1" applyBorder="1" applyAlignment="1">
      <alignment horizontal="center" vertical="top" wrapText="1"/>
    </xf>
    <xf numFmtId="0" fontId="4" fillId="3" borderId="50" xfId="0" applyFont="1" applyFill="1" applyBorder="1" applyAlignment="1">
      <alignment horizontal="center" vertical="top" wrapText="1"/>
    </xf>
    <xf numFmtId="0" fontId="4" fillId="3" borderId="53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4" fillId="3" borderId="35" xfId="0" applyFont="1" applyFill="1" applyBorder="1" applyAlignment="1">
      <alignment horizontal="center" vertical="top" wrapText="1"/>
    </xf>
    <xf numFmtId="0" fontId="4" fillId="3" borderId="36" xfId="0" applyFont="1" applyFill="1" applyBorder="1" applyAlignment="1">
      <alignment horizontal="center" vertical="top" wrapText="1"/>
    </xf>
    <xf numFmtId="0" fontId="4" fillId="3" borderId="23" xfId="0" applyFont="1" applyFill="1" applyBorder="1"/>
    <xf numFmtId="0" fontId="4" fillId="3" borderId="37" xfId="0" applyFont="1" applyFill="1" applyBorder="1"/>
    <xf numFmtId="0" fontId="4" fillId="3" borderId="51" xfId="0" applyFont="1" applyFill="1" applyBorder="1"/>
    <xf numFmtId="0" fontId="4" fillId="3" borderId="3" xfId="0" applyFont="1" applyFill="1" applyBorder="1"/>
    <xf numFmtId="0" fontId="4" fillId="10" borderId="3" xfId="0" applyFont="1" applyFill="1" applyBorder="1"/>
    <xf numFmtId="0" fontId="4" fillId="3" borderId="57" xfId="0" applyFont="1" applyFill="1" applyBorder="1"/>
    <xf numFmtId="0" fontId="4" fillId="3" borderId="9" xfId="0" applyFont="1" applyFill="1" applyBorder="1"/>
    <xf numFmtId="1" fontId="2" fillId="3" borderId="0" xfId="0" applyNumberFormat="1" applyFont="1" applyFill="1" applyBorder="1" applyAlignment="1">
      <alignment vertical="top"/>
    </xf>
    <xf numFmtId="0" fontId="0" fillId="13" borderId="10" xfId="0" applyFont="1" applyFill="1" applyBorder="1" applyAlignment="1">
      <alignment horizontal="left" vertical="top" wrapText="1"/>
    </xf>
    <xf numFmtId="0" fontId="0" fillId="13" borderId="3" xfId="0" applyFont="1" applyFill="1" applyBorder="1" applyAlignment="1">
      <alignment horizontal="left" vertical="top" wrapText="1"/>
    </xf>
    <xf numFmtId="0" fontId="0" fillId="13" borderId="3" xfId="0" applyFont="1" applyFill="1" applyBorder="1" applyAlignment="1">
      <alignment vertical="top"/>
    </xf>
    <xf numFmtId="164" fontId="0" fillId="13" borderId="3" xfId="0" applyNumberFormat="1" applyFont="1" applyFill="1" applyBorder="1" applyAlignment="1">
      <alignment vertical="top"/>
    </xf>
    <xf numFmtId="164" fontId="0" fillId="13" borderId="3" xfId="0" applyNumberFormat="1" applyFont="1" applyFill="1" applyBorder="1" applyAlignment="1">
      <alignment horizontal="right" vertical="top"/>
    </xf>
    <xf numFmtId="164" fontId="0" fillId="13" borderId="11" xfId="0" applyNumberFormat="1" applyFont="1" applyFill="1" applyBorder="1" applyAlignment="1">
      <alignment vertical="top"/>
    </xf>
    <xf numFmtId="1" fontId="0" fillId="13" borderId="55" xfId="0" applyNumberFormat="1" applyFont="1" applyFill="1" applyBorder="1" applyAlignment="1">
      <alignment vertical="top"/>
    </xf>
    <xf numFmtId="0" fontId="0" fillId="3" borderId="54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8" xfId="0" quotePrefix="1" applyFill="1" applyBorder="1" applyAlignment="1">
      <alignment horizontal="left" vertical="top" wrapText="1"/>
    </xf>
    <xf numFmtId="0" fontId="0" fillId="3" borderId="28" xfId="0" applyFill="1" applyBorder="1" applyAlignment="1">
      <alignment vertical="top"/>
    </xf>
    <xf numFmtId="0" fontId="0" fillId="3" borderId="1" xfId="0" quotePrefix="1" applyFill="1" applyBorder="1" applyAlignment="1">
      <alignment horizontal="left" vertical="top" wrapText="1"/>
    </xf>
    <xf numFmtId="0" fontId="3" fillId="4" borderId="50" xfId="0" applyFont="1" applyFill="1" applyBorder="1" applyAlignment="1">
      <alignment horizontal="center"/>
    </xf>
    <xf numFmtId="0" fontId="0" fillId="3" borderId="64" xfId="0" applyFill="1" applyBorder="1" applyAlignment="1">
      <alignment horizontal="left" vertical="top" wrapText="1"/>
    </xf>
    <xf numFmtId="0" fontId="3" fillId="4" borderId="56" xfId="0" applyFont="1" applyFill="1" applyBorder="1"/>
    <xf numFmtId="0" fontId="0" fillId="2" borderId="23" xfId="0" applyFill="1" applyBorder="1"/>
    <xf numFmtId="0" fontId="3" fillId="4" borderId="56" xfId="0" applyFont="1" applyFill="1" applyBorder="1" applyAlignment="1">
      <alignment horizontal="left"/>
    </xf>
    <xf numFmtId="0" fontId="0" fillId="3" borderId="1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63" xfId="0" applyFill="1" applyBorder="1" applyAlignment="1">
      <alignment horizontal="left" vertical="top" wrapText="1"/>
    </xf>
    <xf numFmtId="0" fontId="2" fillId="13" borderId="35" xfId="0" applyFont="1" applyFill="1" applyBorder="1" applyAlignment="1">
      <alignment horizontal="left" vertical="top" wrapText="1"/>
    </xf>
    <xf numFmtId="0" fontId="0" fillId="3" borderId="45" xfId="0" applyFill="1" applyBorder="1" applyAlignment="1">
      <alignment vertical="top"/>
    </xf>
    <xf numFmtId="0" fontId="0" fillId="3" borderId="65" xfId="0" applyFill="1" applyBorder="1" applyAlignment="1">
      <alignment vertical="top"/>
    </xf>
    <xf numFmtId="0" fontId="0" fillId="3" borderId="38" xfId="0" applyFill="1" applyBorder="1" applyAlignment="1">
      <alignment vertical="top"/>
    </xf>
    <xf numFmtId="0" fontId="2" fillId="13" borderId="41" xfId="0" applyFont="1" applyFill="1" applyBorder="1" applyAlignment="1">
      <alignment vertical="top"/>
    </xf>
    <xf numFmtId="0" fontId="3" fillId="4" borderId="66" xfId="0" applyFont="1" applyFill="1" applyBorder="1"/>
    <xf numFmtId="0" fontId="3" fillId="4" borderId="67" xfId="0" applyFont="1" applyFill="1" applyBorder="1"/>
    <xf numFmtId="0" fontId="0" fillId="3" borderId="66" xfId="0" applyFill="1" applyBorder="1" applyAlignment="1">
      <alignment vertical="top"/>
    </xf>
    <xf numFmtId="0" fontId="0" fillId="3" borderId="67" xfId="0" applyFill="1" applyBorder="1" applyAlignment="1">
      <alignment vertical="top"/>
    </xf>
    <xf numFmtId="0" fontId="0" fillId="3" borderId="68" xfId="0" applyFill="1" applyBorder="1" applyAlignment="1">
      <alignment vertical="top"/>
    </xf>
    <xf numFmtId="0" fontId="0" fillId="3" borderId="69" xfId="0" applyFill="1" applyBorder="1" applyAlignment="1">
      <alignment vertical="top"/>
    </xf>
    <xf numFmtId="0" fontId="0" fillId="3" borderId="70" xfId="0" applyFill="1" applyBorder="1" applyAlignment="1">
      <alignment vertical="top"/>
    </xf>
    <xf numFmtId="0" fontId="0" fillId="3" borderId="71" xfId="0" applyFill="1" applyBorder="1" applyAlignment="1">
      <alignment vertical="top"/>
    </xf>
    <xf numFmtId="0" fontId="0" fillId="3" borderId="72" xfId="0" applyFill="1" applyBorder="1" applyAlignment="1">
      <alignment vertical="top"/>
    </xf>
    <xf numFmtId="0" fontId="0" fillId="3" borderId="73" xfId="0" applyFill="1" applyBorder="1" applyAlignment="1">
      <alignment vertical="top"/>
    </xf>
    <xf numFmtId="0" fontId="2" fillId="13" borderId="74" xfId="0" applyFont="1" applyFill="1" applyBorder="1" applyAlignment="1">
      <alignment vertical="top"/>
    </xf>
    <xf numFmtId="0" fontId="2" fillId="13" borderId="75" xfId="0" applyFont="1" applyFill="1" applyBorder="1" applyAlignment="1">
      <alignment vertical="top"/>
    </xf>
    <xf numFmtId="0" fontId="0" fillId="3" borderId="44" xfId="0" applyFill="1" applyBorder="1" applyAlignment="1">
      <alignment vertical="top"/>
    </xf>
    <xf numFmtId="0" fontId="0" fillId="3" borderId="62" xfId="0" applyFill="1" applyBorder="1" applyAlignment="1">
      <alignment vertical="top"/>
    </xf>
    <xf numFmtId="0" fontId="2" fillId="13" borderId="56" xfId="0" applyFont="1" applyFill="1" applyBorder="1" applyAlignment="1">
      <alignment vertical="top"/>
    </xf>
    <xf numFmtId="0" fontId="3" fillId="2" borderId="29" xfId="0" applyFont="1" applyFill="1" applyBorder="1" applyAlignment="1"/>
    <xf numFmtId="0" fontId="3" fillId="2" borderId="12" xfId="0" applyFont="1" applyFill="1" applyBorder="1" applyAlignment="1"/>
    <xf numFmtId="0" fontId="0" fillId="3" borderId="3" xfId="0" quotePrefix="1" applyFill="1" applyBorder="1" applyAlignment="1">
      <alignment vertical="top"/>
    </xf>
    <xf numFmtId="0" fontId="0" fillId="3" borderId="63" xfId="0" quotePrefix="1" applyFill="1" applyBorder="1" applyAlignment="1">
      <alignment vertical="top"/>
    </xf>
    <xf numFmtId="0" fontId="0" fillId="3" borderId="70" xfId="0" quotePrefix="1" applyFill="1" applyBorder="1" applyAlignment="1">
      <alignment vertical="top"/>
    </xf>
    <xf numFmtId="0" fontId="0" fillId="3" borderId="71" xfId="0" quotePrefix="1" applyFill="1" applyBorder="1" applyAlignment="1">
      <alignment vertical="top"/>
    </xf>
    <xf numFmtId="0" fontId="0" fillId="2" borderId="20" xfId="0" applyFill="1" applyBorder="1" applyAlignment="1">
      <alignment horizontal="right"/>
    </xf>
    <xf numFmtId="164" fontId="0" fillId="3" borderId="22" xfId="0" applyNumberFormat="1" applyFill="1" applyBorder="1" applyAlignment="1">
      <alignment horizontal="right"/>
    </xf>
    <xf numFmtId="0" fontId="0" fillId="3" borderId="19" xfId="0" applyFont="1" applyFill="1" applyBorder="1" applyAlignment="1">
      <alignment horizontal="left" wrapText="1"/>
    </xf>
    <xf numFmtId="0" fontId="0" fillId="3" borderId="20" xfId="0" applyFont="1" applyFill="1" applyBorder="1" applyAlignment="1"/>
    <xf numFmtId="0" fontId="0" fillId="2" borderId="20" xfId="0" applyFont="1" applyFill="1" applyBorder="1" applyAlignment="1"/>
    <xf numFmtId="164" fontId="0" fillId="3" borderId="20" xfId="0" applyNumberFormat="1" applyFont="1" applyFill="1" applyBorder="1" applyAlignment="1"/>
    <xf numFmtId="164" fontId="0" fillId="3" borderId="22" xfId="0" applyNumberFormat="1" applyFont="1" applyFill="1" applyBorder="1" applyAlignment="1"/>
    <xf numFmtId="0" fontId="0" fillId="14" borderId="19" xfId="0" applyFill="1" applyBorder="1" applyAlignment="1">
      <alignment horizontal="left" wrapText="1"/>
    </xf>
    <xf numFmtId="164" fontId="0" fillId="14" borderId="20" xfId="0" applyNumberFormat="1" applyFill="1" applyBorder="1" applyAlignment="1"/>
    <xf numFmtId="0" fontId="4" fillId="3" borderId="6" xfId="0" applyFont="1" applyFill="1" applyBorder="1" applyAlignment="1">
      <alignment horizontal="left" wrapText="1"/>
    </xf>
    <xf numFmtId="0" fontId="0" fillId="3" borderId="16" xfId="0" applyFill="1" applyBorder="1" applyAlignment="1">
      <alignment horizontal="left" wrapText="1"/>
    </xf>
    <xf numFmtId="0" fontId="0" fillId="3" borderId="1" xfId="0" applyFill="1" applyBorder="1" applyAlignment="1"/>
    <xf numFmtId="0" fontId="0" fillId="2" borderId="1" xfId="0" applyFill="1" applyBorder="1" applyAlignment="1"/>
    <xf numFmtId="164" fontId="0" fillId="3" borderId="1" xfId="0" applyNumberFormat="1" applyFill="1" applyBorder="1" applyAlignment="1"/>
    <xf numFmtId="164" fontId="0" fillId="13" borderId="22" xfId="0" applyNumberFormat="1" applyFill="1" applyBorder="1" applyAlignment="1"/>
    <xf numFmtId="1" fontId="0" fillId="13" borderId="7" xfId="0" applyNumberFormat="1" applyFill="1" applyBorder="1" applyAlignment="1">
      <alignment vertical="top"/>
    </xf>
    <xf numFmtId="1" fontId="0" fillId="3" borderId="7" xfId="0" applyNumberFormat="1" applyFill="1" applyBorder="1" applyAlignment="1">
      <alignment horizontal="left" vertical="top"/>
    </xf>
    <xf numFmtId="1" fontId="0" fillId="3" borderId="22" xfId="0" applyNumberFormat="1" applyFill="1" applyBorder="1" applyAlignment="1">
      <alignment horizontal="left" vertical="top"/>
    </xf>
    <xf numFmtId="1" fontId="0" fillId="3" borderId="42" xfId="0" applyNumberFormat="1" applyFill="1" applyBorder="1" applyAlignment="1">
      <alignment horizontal="left" vertical="top"/>
    </xf>
    <xf numFmtId="0" fontId="2" fillId="3" borderId="0" xfId="0" applyFont="1" applyFill="1" applyAlignment="1">
      <alignment horizontal="left"/>
    </xf>
    <xf numFmtId="0" fontId="0" fillId="11" borderId="6" xfId="0" applyFill="1" applyBorder="1" applyAlignment="1">
      <alignment horizontal="left" vertical="top" wrapText="1"/>
    </xf>
    <xf numFmtId="0" fontId="0" fillId="11" borderId="18" xfId="0" applyFill="1" applyBorder="1" applyAlignment="1">
      <alignment horizontal="left" vertical="top" wrapText="1"/>
    </xf>
    <xf numFmtId="0" fontId="0" fillId="11" borderId="40" xfId="0" applyFill="1" applyBorder="1" applyAlignment="1">
      <alignment horizontal="left" vertical="top" wrapText="1"/>
    </xf>
    <xf numFmtId="2" fontId="0" fillId="3" borderId="22" xfId="0" applyNumberFormat="1" applyFill="1" applyBorder="1" applyAlignment="1">
      <alignment horizontal="left" vertical="top"/>
    </xf>
    <xf numFmtId="1" fontId="0" fillId="13" borderId="22" xfId="0" applyNumberFormat="1" applyFill="1" applyBorder="1" applyAlignment="1">
      <alignment horizontal="left" vertical="top"/>
    </xf>
    <xf numFmtId="1" fontId="2" fillId="3" borderId="22" xfId="0" applyNumberFormat="1" applyFont="1" applyFill="1" applyBorder="1" applyAlignment="1">
      <alignment horizontal="left" vertical="top"/>
    </xf>
    <xf numFmtId="0" fontId="0" fillId="6" borderId="48" xfId="0" applyFill="1" applyBorder="1" applyAlignment="1">
      <alignment vertical="top" wrapText="1"/>
    </xf>
    <xf numFmtId="0" fontId="0" fillId="3" borderId="48" xfId="0" applyFill="1" applyBorder="1" applyAlignment="1">
      <alignment vertical="top" wrapText="1"/>
    </xf>
    <xf numFmtId="0" fontId="0" fillId="3" borderId="57" xfId="0" applyFill="1" applyBorder="1" applyAlignment="1">
      <alignment vertical="top" wrapText="1"/>
    </xf>
    <xf numFmtId="0" fontId="0" fillId="6" borderId="16" xfId="0" applyFill="1" applyBorder="1" applyAlignment="1">
      <alignment vertical="top"/>
    </xf>
    <xf numFmtId="0" fontId="0" fillId="3" borderId="52" xfId="0" applyFill="1" applyBorder="1" applyAlignment="1">
      <alignment vertical="top" wrapText="1"/>
    </xf>
    <xf numFmtId="0" fontId="0" fillId="3" borderId="55" xfId="0" applyFill="1" applyBorder="1" applyAlignment="1">
      <alignment vertical="top" wrapText="1"/>
    </xf>
    <xf numFmtId="0" fontId="0" fillId="6" borderId="14" xfId="0" applyFill="1" applyBorder="1" applyAlignment="1">
      <alignment vertical="top"/>
    </xf>
    <xf numFmtId="0" fontId="2" fillId="3" borderId="19" xfId="0" applyFont="1" applyFill="1" applyBorder="1" applyAlignment="1">
      <alignment horizontal="left" wrapText="1"/>
    </xf>
    <xf numFmtId="164" fontId="2" fillId="3" borderId="20" xfId="0" applyNumberFormat="1" applyFont="1" applyFill="1" applyBorder="1" applyAlignment="1"/>
    <xf numFmtId="0" fontId="2" fillId="3" borderId="17" xfId="0" applyFont="1" applyFill="1" applyBorder="1" applyAlignment="1">
      <alignment horizontal="left" vertical="top" wrapText="1"/>
    </xf>
    <xf numFmtId="0" fontId="0" fillId="3" borderId="2" xfId="0" quotePrefix="1" applyFill="1" applyBorder="1" applyAlignment="1">
      <alignment horizontal="right" vertical="top"/>
    </xf>
    <xf numFmtId="1" fontId="0" fillId="3" borderId="9" xfId="0" applyNumberFormat="1" applyFill="1" applyBorder="1" applyAlignment="1">
      <alignment vertical="top"/>
    </xf>
    <xf numFmtId="0" fontId="0" fillId="3" borderId="19" xfId="0" applyFill="1" applyBorder="1"/>
    <xf numFmtId="0" fontId="0" fillId="10" borderId="20" xfId="0" applyFill="1" applyBorder="1"/>
    <xf numFmtId="0" fontId="4" fillId="3" borderId="4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165" fontId="4" fillId="3" borderId="35" xfId="0" applyNumberFormat="1" applyFont="1" applyFill="1" applyBorder="1" applyAlignment="1">
      <alignment horizontal="center" vertical="top" wrapText="1"/>
    </xf>
    <xf numFmtId="165" fontId="0" fillId="3" borderId="17" xfId="0" applyNumberFormat="1" applyFill="1" applyBorder="1"/>
    <xf numFmtId="165" fontId="0" fillId="3" borderId="0" xfId="0" applyNumberFormat="1" applyFill="1"/>
    <xf numFmtId="165" fontId="3" fillId="4" borderId="45" xfId="0" applyNumberFormat="1" applyFont="1" applyFill="1" applyBorder="1"/>
    <xf numFmtId="165" fontId="0" fillId="3" borderId="16" xfId="0" applyNumberFormat="1" applyFill="1" applyBorder="1" applyAlignment="1">
      <alignment vertical="top"/>
    </xf>
    <xf numFmtId="165" fontId="0" fillId="3" borderId="19" xfId="0" applyNumberFormat="1" applyFill="1" applyBorder="1" applyAlignment="1">
      <alignment vertical="top"/>
    </xf>
    <xf numFmtId="165" fontId="2" fillId="6" borderId="41" xfId="0" applyNumberFormat="1" applyFont="1" applyFill="1" applyBorder="1" applyAlignment="1">
      <alignment vertical="top"/>
    </xf>
    <xf numFmtId="165" fontId="0" fillId="3" borderId="30" xfId="0" applyNumberFormat="1" applyFill="1" applyBorder="1" applyAlignment="1">
      <alignment horizontal="center" vertical="top" wrapText="1"/>
    </xf>
    <xf numFmtId="165" fontId="0" fillId="3" borderId="0" xfId="0" applyNumberFormat="1" applyFill="1" applyBorder="1" applyAlignment="1">
      <alignment horizontal="center" vertical="top" wrapText="1"/>
    </xf>
    <xf numFmtId="165" fontId="0" fillId="3" borderId="16" xfId="0" applyNumberFormat="1" applyFill="1" applyBorder="1"/>
    <xf numFmtId="165" fontId="0" fillId="3" borderId="13" xfId="0" applyNumberFormat="1" applyFill="1" applyBorder="1" applyAlignment="1">
      <alignment horizontal="center" vertical="top" wrapText="1"/>
    </xf>
    <xf numFmtId="165" fontId="4" fillId="3" borderId="16" xfId="0" applyNumberFormat="1" applyFont="1" applyFill="1" applyBorder="1"/>
    <xf numFmtId="165" fontId="4" fillId="3" borderId="17" xfId="0" applyNumberFormat="1" applyFont="1" applyFill="1" applyBorder="1"/>
    <xf numFmtId="165" fontId="8" fillId="6" borderId="41" xfId="0" applyNumberFormat="1" applyFont="1" applyFill="1" applyBorder="1" applyAlignment="1">
      <alignment vertical="top"/>
    </xf>
    <xf numFmtId="165" fontId="4" fillId="3" borderId="13" xfId="0" applyNumberFormat="1" applyFont="1" applyFill="1" applyBorder="1" applyAlignment="1">
      <alignment horizontal="center" vertical="top" wrapText="1"/>
    </xf>
    <xf numFmtId="165" fontId="8" fillId="6" borderId="45" xfId="0" applyNumberFormat="1" applyFont="1" applyFill="1" applyBorder="1" applyAlignment="1">
      <alignment vertical="top"/>
    </xf>
    <xf numFmtId="165" fontId="4" fillId="3" borderId="50" xfId="0" applyNumberFormat="1" applyFont="1" applyFill="1" applyBorder="1" applyAlignment="1">
      <alignment horizontal="center" vertical="top" wrapText="1"/>
    </xf>
    <xf numFmtId="165" fontId="0" fillId="3" borderId="19" xfId="0" applyNumberFormat="1" applyFill="1" applyBorder="1"/>
    <xf numFmtId="165" fontId="4" fillId="3" borderId="13" xfId="0" applyNumberFormat="1" applyFont="1" applyFill="1" applyBorder="1" applyAlignment="1">
      <alignment vertical="top" wrapText="1"/>
    </xf>
    <xf numFmtId="165" fontId="4" fillId="3" borderId="57" xfId="0" applyNumberFormat="1" applyFont="1" applyFill="1" applyBorder="1"/>
    <xf numFmtId="166" fontId="0" fillId="3" borderId="1" xfId="0" quotePrefix="1" applyNumberFormat="1" applyFill="1" applyBorder="1" applyAlignment="1">
      <alignment horizontal="left" vertical="top" wrapText="1"/>
    </xf>
    <xf numFmtId="167" fontId="0" fillId="3" borderId="2" xfId="0" quotePrefix="1" applyNumberFormat="1" applyFill="1" applyBorder="1" applyAlignment="1">
      <alignment horizontal="left" vertical="top" wrapText="1"/>
    </xf>
    <xf numFmtId="0" fontId="0" fillId="2" borderId="2" xfId="0" applyFill="1" applyBorder="1" applyAlignment="1"/>
    <xf numFmtId="164" fontId="1" fillId="13" borderId="20" xfId="0" applyNumberFormat="1" applyFont="1" applyFill="1" applyBorder="1" applyAlignment="1">
      <alignment vertical="top"/>
    </xf>
    <xf numFmtId="164" fontId="1" fillId="3" borderId="20" xfId="0" applyNumberFormat="1" applyFont="1" applyFill="1" applyBorder="1" applyAlignment="1">
      <alignment vertical="top"/>
    </xf>
    <xf numFmtId="1" fontId="0" fillId="3" borderId="22" xfId="0" applyNumberFormat="1" applyFill="1" applyBorder="1" applyAlignment="1">
      <alignment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1" fontId="0" fillId="3" borderId="7" xfId="0" applyNumberFormat="1" applyFill="1" applyBorder="1" applyAlignment="1">
      <alignment vertical="top" wrapText="1"/>
    </xf>
    <xf numFmtId="1" fontId="2" fillId="13" borderId="42" xfId="0" applyNumberFormat="1" applyFont="1" applyFill="1" applyBorder="1" applyAlignment="1">
      <alignment horizontal="left" vertical="top"/>
    </xf>
    <xf numFmtId="0" fontId="0" fillId="17" borderId="18" xfId="0" applyFill="1" applyBorder="1" applyAlignment="1">
      <alignment horizontal="left" vertical="top" wrapText="1"/>
    </xf>
    <xf numFmtId="0" fontId="0" fillId="17" borderId="19" xfId="0" applyFill="1" applyBorder="1" applyAlignment="1">
      <alignment horizontal="left" vertical="top" wrapText="1"/>
    </xf>
    <xf numFmtId="0" fontId="0" fillId="17" borderId="20" xfId="0" applyFill="1" applyBorder="1" applyAlignment="1">
      <alignment vertical="top"/>
    </xf>
    <xf numFmtId="164" fontId="0" fillId="17" borderId="2" xfId="0" applyNumberFormat="1" applyFill="1" applyBorder="1" applyAlignment="1">
      <alignment vertical="top"/>
    </xf>
    <xf numFmtId="164" fontId="0" fillId="17" borderId="2" xfId="0" applyNumberFormat="1" applyFill="1" applyBorder="1" applyAlignment="1">
      <alignment horizontal="right" vertical="top"/>
    </xf>
    <xf numFmtId="0" fontId="0" fillId="17" borderId="2" xfId="0" applyFill="1" applyBorder="1" applyAlignment="1">
      <alignment vertical="top"/>
    </xf>
    <xf numFmtId="164" fontId="1" fillId="17" borderId="2" xfId="0" applyNumberFormat="1" applyFont="1" applyFill="1" applyBorder="1" applyAlignment="1">
      <alignment vertical="top"/>
    </xf>
    <xf numFmtId="164" fontId="0" fillId="17" borderId="9" xfId="0" applyNumberFormat="1" applyFill="1" applyBorder="1" applyAlignment="1">
      <alignment vertical="top"/>
    </xf>
    <xf numFmtId="164" fontId="0" fillId="17" borderId="61" xfId="0" applyNumberFormat="1" applyFill="1" applyBorder="1" applyAlignment="1">
      <alignment vertical="top" wrapText="1"/>
    </xf>
    <xf numFmtId="1" fontId="2" fillId="7" borderId="11" xfId="0" applyNumberFormat="1" applyFont="1" applyFill="1" applyBorder="1" applyAlignment="1">
      <alignment vertical="top"/>
    </xf>
    <xf numFmtId="1" fontId="0" fillId="7" borderId="22" xfId="0" applyNumberFormat="1" applyFill="1" applyBorder="1" applyAlignment="1">
      <alignment vertical="top"/>
    </xf>
    <xf numFmtId="0" fontId="2" fillId="3" borderId="51" xfId="0" applyFont="1" applyFill="1" applyBorder="1" applyAlignment="1">
      <alignment horizontal="left" vertical="top" wrapText="1"/>
    </xf>
    <xf numFmtId="0" fontId="0" fillId="3" borderId="3" xfId="0" quotePrefix="1" applyFill="1" applyBorder="1" applyAlignment="1">
      <alignment horizontal="right" vertical="top"/>
    </xf>
    <xf numFmtId="0" fontId="0" fillId="3" borderId="47" xfId="0" applyFill="1" applyBorder="1" applyAlignment="1">
      <alignment horizontal="left" vertical="top" wrapText="1"/>
    </xf>
    <xf numFmtId="1" fontId="4" fillId="3" borderId="7" xfId="0" applyNumberFormat="1" applyFont="1" applyFill="1" applyBorder="1" applyAlignment="1">
      <alignment vertical="top"/>
    </xf>
    <xf numFmtId="0" fontId="0" fillId="3" borderId="33" xfId="0" applyFont="1" applyFill="1" applyBorder="1" applyAlignment="1">
      <alignment horizontal="left" vertical="top" wrapText="1"/>
    </xf>
    <xf numFmtId="0" fontId="0" fillId="3" borderId="19" xfId="0" applyFont="1" applyFill="1" applyBorder="1" applyAlignment="1">
      <alignment horizontal="left" vertical="top" wrapText="1"/>
    </xf>
    <xf numFmtId="0" fontId="0" fillId="16" borderId="0" xfId="0" applyFill="1"/>
    <xf numFmtId="0" fontId="1" fillId="16" borderId="0" xfId="0" applyFont="1" applyFill="1"/>
    <xf numFmtId="0" fontId="11" fillId="3" borderId="54" xfId="0" applyFont="1" applyFill="1" applyBorder="1"/>
    <xf numFmtId="0" fontId="11" fillId="3" borderId="28" xfId="0" applyFont="1" applyFill="1" applyBorder="1"/>
    <xf numFmtId="0" fontId="11" fillId="3" borderId="29" xfId="0" applyFont="1" applyFill="1" applyBorder="1" applyAlignment="1">
      <alignment vertical="top"/>
    </xf>
    <xf numFmtId="0" fontId="11" fillId="2" borderId="29" xfId="0" applyFont="1" applyFill="1" applyBorder="1" applyAlignment="1">
      <alignment vertical="top"/>
    </xf>
    <xf numFmtId="1" fontId="11" fillId="3" borderId="25" xfId="0" applyNumberFormat="1" applyFont="1" applyFill="1" applyBorder="1" applyAlignment="1">
      <alignment vertical="top"/>
    </xf>
    <xf numFmtId="0" fontId="2" fillId="2" borderId="58" xfId="0" applyFont="1" applyFill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vertical="top"/>
    </xf>
    <xf numFmtId="164" fontId="2" fillId="2" borderId="12" xfId="0" applyNumberFormat="1" applyFont="1" applyFill="1" applyBorder="1" applyAlignment="1">
      <alignment vertical="top"/>
    </xf>
    <xf numFmtId="164" fontId="2" fillId="2" borderId="12" xfId="0" applyNumberFormat="1" applyFont="1" applyFill="1" applyBorder="1" applyAlignment="1">
      <alignment horizontal="right" vertical="top"/>
    </xf>
    <xf numFmtId="164" fontId="2" fillId="2" borderId="59" xfId="0" applyNumberFormat="1" applyFont="1" applyFill="1" applyBorder="1" applyAlignment="1">
      <alignment vertical="top"/>
    </xf>
    <xf numFmtId="0" fontId="0" fillId="18" borderId="0" xfId="0" applyFill="1"/>
    <xf numFmtId="0" fontId="4" fillId="3" borderId="33" xfId="0" applyFont="1" applyFill="1" applyBorder="1"/>
    <xf numFmtId="0" fontId="4" fillId="3" borderId="20" xfId="0" applyFont="1" applyFill="1" applyBorder="1"/>
    <xf numFmtId="165" fontId="4" fillId="3" borderId="19" xfId="0" applyNumberFormat="1" applyFont="1" applyFill="1" applyBorder="1"/>
    <xf numFmtId="0" fontId="4" fillId="3" borderId="21" xfId="0" applyFont="1" applyFill="1" applyBorder="1"/>
    <xf numFmtId="0" fontId="4" fillId="3" borderId="19" xfId="0" applyFont="1" applyFill="1" applyBorder="1"/>
    <xf numFmtId="0" fontId="0" fillId="3" borderId="16" xfId="0" quotePrefix="1" applyFill="1" applyBorder="1" applyAlignment="1">
      <alignment horizontal="left" vertical="top" wrapText="1"/>
    </xf>
    <xf numFmtId="0" fontId="4" fillId="19" borderId="18" xfId="0" applyFont="1" applyFill="1" applyBorder="1" applyAlignment="1">
      <alignment horizontal="left" wrapText="1"/>
    </xf>
    <xf numFmtId="0" fontId="0" fillId="19" borderId="19" xfId="0" applyFill="1" applyBorder="1" applyAlignment="1">
      <alignment horizontal="left" wrapText="1"/>
    </xf>
    <xf numFmtId="0" fontId="0" fillId="19" borderId="20" xfId="0" applyFill="1" applyBorder="1" applyAlignment="1"/>
    <xf numFmtId="168" fontId="13" fillId="3" borderId="0" xfId="0" applyNumberFormat="1" applyFont="1" applyFill="1"/>
    <xf numFmtId="168" fontId="13" fillId="3" borderId="0" xfId="0" applyNumberFormat="1" applyFont="1" applyFill="1" applyAlignment="1">
      <alignment vertical="top"/>
    </xf>
    <xf numFmtId="168" fontId="14" fillId="3" borderId="0" xfId="0" applyNumberFormat="1" applyFont="1" applyFill="1"/>
    <xf numFmtId="0" fontId="13" fillId="3" borderId="0" xfId="0" applyFont="1" applyFill="1"/>
    <xf numFmtId="0" fontId="13" fillId="3" borderId="0" xfId="0" applyFont="1" applyFill="1" applyAlignment="1">
      <alignment vertical="top"/>
    </xf>
    <xf numFmtId="168" fontId="13" fillId="12" borderId="0" xfId="0" applyNumberFormat="1" applyFont="1" applyFill="1" applyAlignment="1">
      <alignment vertical="top"/>
    </xf>
    <xf numFmtId="168" fontId="13" fillId="12" borderId="0" xfId="0" applyNumberFormat="1" applyFont="1" applyFill="1"/>
    <xf numFmtId="169" fontId="4" fillId="3" borderId="1" xfId="0" applyNumberFormat="1" applyFont="1" applyFill="1" applyBorder="1"/>
    <xf numFmtId="0" fontId="0" fillId="3" borderId="53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1" fontId="0" fillId="3" borderId="23" xfId="0" applyNumberFormat="1" applyFill="1" applyBorder="1" applyAlignment="1">
      <alignment horizontal="right" vertical="center"/>
    </xf>
    <xf numFmtId="1" fontId="0" fillId="3" borderId="20" xfId="0" applyNumberFormat="1" applyFill="1" applyBorder="1" applyAlignment="1">
      <alignment horizontal="right" vertical="center"/>
    </xf>
    <xf numFmtId="0" fontId="4" fillId="3" borderId="2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1" fontId="4" fillId="3" borderId="37" xfId="0" applyNumberFormat="1" applyFont="1" applyFill="1" applyBorder="1" applyAlignment="1">
      <alignment horizontal="center" vertical="center"/>
    </xf>
    <xf numFmtId="1" fontId="4" fillId="3" borderId="62" xfId="0" applyNumberFormat="1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/>
    </xf>
    <xf numFmtId="0" fontId="0" fillId="5" borderId="19" xfId="0" applyFill="1" applyBorder="1" applyAlignment="1">
      <alignment horizontal="left" wrapText="1"/>
    </xf>
    <xf numFmtId="0" fontId="0" fillId="2" borderId="40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164" fontId="0" fillId="2" borderId="39" xfId="0" applyNumberFormat="1" applyFill="1" applyBorder="1" applyAlignment="1">
      <alignment vertical="top"/>
    </xf>
    <xf numFmtId="164" fontId="0" fillId="2" borderId="39" xfId="0" applyNumberFormat="1" applyFill="1" applyBorder="1" applyAlignment="1">
      <alignment horizontal="right" vertical="top"/>
    </xf>
    <xf numFmtId="164" fontId="1" fillId="2" borderId="39" xfId="0" applyNumberFormat="1" applyFont="1" applyFill="1" applyBorder="1" applyAlignment="1">
      <alignment vertical="top"/>
    </xf>
    <xf numFmtId="164" fontId="0" fillId="2" borderId="42" xfId="0" applyNumberFormat="1" applyFill="1" applyBorder="1" applyAlignment="1">
      <alignment vertical="top"/>
    </xf>
    <xf numFmtId="164" fontId="0" fillId="2" borderId="76" xfId="0" applyNumberFormat="1" applyFill="1" applyBorder="1" applyAlignment="1">
      <alignment vertical="top" wrapText="1"/>
    </xf>
    <xf numFmtId="1" fontId="2" fillId="6" borderId="42" xfId="0" applyNumberFormat="1" applyFont="1" applyFill="1" applyBorder="1" applyAlignment="1">
      <alignment horizontal="left" vertical="top"/>
    </xf>
    <xf numFmtId="168" fontId="13" fillId="3" borderId="0" xfId="0" applyNumberFormat="1" applyFont="1" applyFill="1" applyAlignment="1"/>
    <xf numFmtId="1" fontId="0" fillId="3" borderId="22" xfId="0" applyNumberFormat="1" applyFill="1" applyBorder="1" applyAlignment="1">
      <alignment horizontal="left"/>
    </xf>
    <xf numFmtId="0" fontId="0" fillId="14" borderId="18" xfId="0" applyFill="1" applyBorder="1" applyAlignment="1">
      <alignment horizontal="left" wrapText="1"/>
    </xf>
    <xf numFmtId="0" fontId="0" fillId="14" borderId="20" xfId="0" applyFill="1" applyBorder="1" applyAlignment="1"/>
    <xf numFmtId="0" fontId="1" fillId="14" borderId="20" xfId="0" applyFont="1" applyFill="1" applyBorder="1" applyAlignment="1"/>
    <xf numFmtId="164" fontId="0" fillId="14" borderId="20" xfId="0" applyNumberFormat="1" applyFill="1" applyBorder="1" applyAlignment="1">
      <alignment horizontal="right"/>
    </xf>
    <xf numFmtId="164" fontId="0" fillId="14" borderId="22" xfId="0" applyNumberFormat="1" applyFill="1" applyBorder="1" applyAlignment="1"/>
    <xf numFmtId="0" fontId="0" fillId="3" borderId="18" xfId="0" applyFill="1" applyBorder="1"/>
    <xf numFmtId="0" fontId="0" fillId="3" borderId="20" xfId="0" applyFill="1" applyBorder="1"/>
    <xf numFmtId="0" fontId="0" fillId="3" borderId="21" xfId="0" applyFill="1" applyBorder="1"/>
    <xf numFmtId="0" fontId="0" fillId="10" borderId="1" xfId="0" applyFill="1" applyBorder="1" applyAlignment="1">
      <alignment horizontal="center" vertical="top" wrapText="1"/>
    </xf>
    <xf numFmtId="0" fontId="3" fillId="4" borderId="39" xfId="0" applyFont="1" applyFill="1" applyBorder="1" applyAlignment="1">
      <alignment horizontal="left"/>
    </xf>
    <xf numFmtId="1" fontId="0" fillId="3" borderId="22" xfId="0" applyNumberFormat="1" applyFont="1" applyFill="1" applyBorder="1" applyAlignment="1"/>
    <xf numFmtId="0" fontId="6" fillId="4" borderId="5" xfId="0" applyFont="1" applyFill="1" applyBorder="1" applyAlignment="1">
      <alignment wrapText="1"/>
    </xf>
    <xf numFmtId="0" fontId="8" fillId="3" borderId="24" xfId="0" applyFont="1" applyFill="1" applyBorder="1" applyAlignment="1">
      <alignment horizontal="right" vertical="center" wrapText="1"/>
    </xf>
    <xf numFmtId="0" fontId="8" fillId="3" borderId="22" xfId="0" applyFont="1" applyFill="1" applyBorder="1" applyAlignment="1">
      <alignment horizontal="right" vertical="center" wrapText="1"/>
    </xf>
    <xf numFmtId="0" fontId="8" fillId="3" borderId="9" xfId="0" applyFont="1" applyFill="1" applyBorder="1"/>
    <xf numFmtId="1" fontId="8" fillId="3" borderId="25" xfId="0" applyNumberFormat="1" applyFont="1" applyFill="1" applyBorder="1" applyAlignment="1">
      <alignment horizontal="left" vertical="center" wrapText="1"/>
    </xf>
    <xf numFmtId="1" fontId="8" fillId="3" borderId="22" xfId="0" applyNumberFormat="1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top" wrapText="1"/>
    </xf>
    <xf numFmtId="1" fontId="8" fillId="3" borderId="24" xfId="0" applyNumberFormat="1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right" vertical="center"/>
    </xf>
    <xf numFmtId="1" fontId="8" fillId="3" borderId="24" xfId="0" applyNumberFormat="1" applyFont="1" applyFill="1" applyBorder="1" applyAlignment="1">
      <alignment horizontal="right" vertical="center"/>
    </xf>
    <xf numFmtId="1" fontId="8" fillId="3" borderId="53" xfId="0" applyNumberFormat="1" applyFont="1" applyFill="1" applyBorder="1" applyAlignment="1">
      <alignment horizontal="right" vertical="center"/>
    </xf>
    <xf numFmtId="1" fontId="8" fillId="3" borderId="31" xfId="0" applyNumberFormat="1" applyFont="1" applyFill="1" applyBorder="1" applyAlignment="1">
      <alignment horizontal="right" vertical="center"/>
    </xf>
    <xf numFmtId="1" fontId="8" fillId="3" borderId="32" xfId="0" applyNumberFormat="1" applyFont="1" applyFill="1" applyBorder="1" applyAlignment="1">
      <alignment horizontal="right" vertical="center"/>
    </xf>
    <xf numFmtId="0" fontId="8" fillId="3" borderId="50" xfId="0" applyFont="1" applyFill="1" applyBorder="1" applyAlignment="1">
      <alignment horizontal="center" vertical="top" wrapText="1"/>
    </xf>
    <xf numFmtId="1" fontId="8" fillId="3" borderId="24" xfId="0" applyNumberFormat="1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center" vertical="top" wrapText="1"/>
    </xf>
    <xf numFmtId="1" fontId="8" fillId="20" borderId="36" xfId="0" applyNumberFormat="1" applyFont="1" applyFill="1" applyBorder="1" applyAlignment="1">
      <alignment horizontal="right" vertical="center" wrapText="1"/>
    </xf>
    <xf numFmtId="0" fontId="0" fillId="2" borderId="28" xfId="0" applyFill="1" applyBorder="1" applyAlignment="1">
      <alignment vertical="top"/>
    </xf>
    <xf numFmtId="164" fontId="0" fillId="3" borderId="28" xfId="0" applyNumberFormat="1" applyFill="1" applyBorder="1" applyAlignment="1">
      <alignment vertical="top"/>
    </xf>
    <xf numFmtId="164" fontId="0" fillId="3" borderId="28" xfId="0" applyNumberFormat="1" applyFill="1" applyBorder="1" applyAlignment="1">
      <alignment horizontal="right" vertical="top"/>
    </xf>
    <xf numFmtId="164" fontId="0" fillId="3" borderId="81" xfId="0" applyNumberFormat="1" applyFill="1" applyBorder="1" applyAlignment="1">
      <alignment vertical="top"/>
    </xf>
    <xf numFmtId="1" fontId="0" fillId="3" borderId="80" xfId="0" applyNumberFormat="1" applyFill="1" applyBorder="1" applyAlignment="1">
      <alignment vertical="top"/>
    </xf>
    <xf numFmtId="0" fontId="2" fillId="3" borderId="54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vertical="top"/>
    </xf>
    <xf numFmtId="0" fontId="2" fillId="3" borderId="28" xfId="0" applyFont="1" applyFill="1" applyBorder="1" applyAlignment="1">
      <alignment vertical="top"/>
    </xf>
    <xf numFmtId="164" fontId="2" fillId="3" borderId="28" xfId="0" applyNumberFormat="1" applyFont="1" applyFill="1" applyBorder="1" applyAlignment="1">
      <alignment vertical="top"/>
    </xf>
    <xf numFmtId="164" fontId="2" fillId="3" borderId="28" xfId="0" applyNumberFormat="1" applyFont="1" applyFill="1" applyBorder="1" applyAlignment="1">
      <alignment horizontal="right" vertical="top"/>
    </xf>
    <xf numFmtId="164" fontId="2" fillId="3" borderId="81" xfId="0" applyNumberFormat="1" applyFont="1" applyFill="1" applyBorder="1" applyAlignment="1">
      <alignment vertical="top"/>
    </xf>
    <xf numFmtId="1" fontId="2" fillId="3" borderId="80" xfId="0" applyNumberFormat="1" applyFont="1" applyFill="1" applyBorder="1" applyAlignment="1">
      <alignment vertical="top"/>
    </xf>
    <xf numFmtId="164" fontId="0" fillId="3" borderId="33" xfId="0" applyNumberFormat="1" applyFill="1" applyBorder="1" applyAlignment="1">
      <alignment vertical="top"/>
    </xf>
    <xf numFmtId="164" fontId="0" fillId="3" borderId="30" xfId="0" applyNumberFormat="1" applyFill="1" applyBorder="1" applyAlignment="1">
      <alignment vertical="top"/>
    </xf>
    <xf numFmtId="164" fontId="0" fillId="3" borderId="32" xfId="0" applyNumberFormat="1" applyFill="1" applyBorder="1" applyAlignment="1">
      <alignment vertical="top"/>
    </xf>
    <xf numFmtId="0" fontId="3" fillId="4" borderId="23" xfId="0" applyFont="1" applyFill="1" applyBorder="1" applyAlignment="1">
      <alignment vertical="center"/>
    </xf>
    <xf numFmtId="0" fontId="3" fillId="4" borderId="39" xfId="0" applyFont="1" applyFill="1" applyBorder="1" applyAlignment="1">
      <alignment vertical="center"/>
    </xf>
    <xf numFmtId="0" fontId="3" fillId="4" borderId="47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4" borderId="42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 wrapText="1"/>
    </xf>
    <xf numFmtId="0" fontId="6" fillId="4" borderId="42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wrapText="1"/>
    </xf>
    <xf numFmtId="164" fontId="0" fillId="3" borderId="2" xfId="0" applyNumberFormat="1" applyFill="1" applyBorder="1" applyAlignment="1"/>
    <xf numFmtId="0" fontId="0" fillId="2" borderId="3" xfId="0" applyFill="1" applyBorder="1" applyAlignment="1"/>
    <xf numFmtId="0" fontId="4" fillId="21" borderId="10" xfId="0" applyFont="1" applyFill="1" applyBorder="1" applyAlignment="1">
      <alignment horizontal="left" wrapText="1"/>
    </xf>
    <xf numFmtId="0" fontId="0" fillId="21" borderId="3" xfId="0" applyFill="1" applyBorder="1" applyAlignment="1">
      <alignment horizontal="left" wrapText="1"/>
    </xf>
    <xf numFmtId="0" fontId="0" fillId="21" borderId="3" xfId="0" applyFill="1" applyBorder="1" applyAlignment="1"/>
    <xf numFmtId="164" fontId="0" fillId="21" borderId="3" xfId="0" applyNumberFormat="1" applyFill="1" applyBorder="1" applyAlignment="1">
      <alignment vertical="top"/>
    </xf>
    <xf numFmtId="164" fontId="0" fillId="21" borderId="3" xfId="0" applyNumberFormat="1" applyFill="1" applyBorder="1" applyAlignment="1">
      <alignment horizontal="right" vertical="top"/>
    </xf>
    <xf numFmtId="164" fontId="0" fillId="21" borderId="3" xfId="0" applyNumberFormat="1" applyFill="1" applyBorder="1" applyAlignment="1"/>
    <xf numFmtId="1" fontId="1" fillId="3" borderId="52" xfId="0" applyNumberFormat="1" applyFont="1" applyFill="1" applyBorder="1" applyAlignment="1">
      <alignment vertical="center"/>
    </xf>
    <xf numFmtId="1" fontId="1" fillId="3" borderId="27" xfId="0" applyNumberFormat="1" applyFont="1" applyFill="1" applyBorder="1" applyAlignment="1">
      <alignment vertical="center"/>
    </xf>
    <xf numFmtId="1" fontId="1" fillId="21" borderId="55" xfId="0" applyNumberFormat="1" applyFont="1" applyFill="1" applyBorder="1" applyAlignment="1">
      <alignment vertical="center"/>
    </xf>
    <xf numFmtId="164" fontId="0" fillId="3" borderId="14" xfId="0" applyNumberFormat="1" applyFill="1" applyBorder="1" applyAlignment="1">
      <alignment vertical="top"/>
    </xf>
    <xf numFmtId="164" fontId="0" fillId="3" borderId="15" xfId="0" applyNumberFormat="1" applyFill="1" applyBorder="1" applyAlignment="1">
      <alignment vertical="top"/>
    </xf>
    <xf numFmtId="164" fontId="0" fillId="21" borderId="63" xfId="0" applyNumberFormat="1" applyFill="1" applyBorder="1" applyAlignment="1">
      <alignment vertical="top"/>
    </xf>
    <xf numFmtId="1" fontId="0" fillId="21" borderId="83" xfId="0" applyNumberFormat="1" applyFill="1" applyBorder="1" applyAlignment="1"/>
    <xf numFmtId="0" fontId="0" fillId="3" borderId="17" xfId="0" applyFill="1" applyBorder="1" applyAlignment="1">
      <alignment horizontal="left" wrapText="1"/>
    </xf>
    <xf numFmtId="1" fontId="0" fillId="3" borderId="82" xfId="0" applyNumberFormat="1" applyFill="1" applyBorder="1" applyAlignment="1"/>
    <xf numFmtId="1" fontId="0" fillId="3" borderId="61" xfId="0" applyNumberFormat="1" applyFill="1" applyBorder="1" applyAlignment="1"/>
    <xf numFmtId="1" fontId="0" fillId="3" borderId="82" xfId="0" applyNumberFormat="1" applyFill="1" applyBorder="1" applyAlignment="1">
      <alignment vertical="top"/>
    </xf>
    <xf numFmtId="164" fontId="0" fillId="3" borderId="2" xfId="0" applyNumberFormat="1" applyFill="1" applyBorder="1" applyAlignment="1">
      <alignment horizontal="right"/>
    </xf>
    <xf numFmtId="164" fontId="0" fillId="3" borderId="9" xfId="0" applyNumberFormat="1" applyFill="1" applyBorder="1" applyAlignment="1">
      <alignment horizontal="right"/>
    </xf>
    <xf numFmtId="1" fontId="0" fillId="3" borderId="9" xfId="0" applyNumberFormat="1" applyFill="1" applyBorder="1" applyAlignment="1"/>
    <xf numFmtId="0" fontId="10" fillId="3" borderId="0" xfId="0" applyFont="1" applyFill="1"/>
    <xf numFmtId="0" fontId="2" fillId="20" borderId="16" xfId="0" applyFont="1" applyFill="1" applyBorder="1" applyAlignment="1">
      <alignment horizontal="left" vertical="top" wrapText="1"/>
    </xf>
    <xf numFmtId="1" fontId="0" fillId="13" borderId="42" xfId="0" applyNumberFormat="1" applyFont="1" applyFill="1" applyBorder="1" applyAlignment="1">
      <alignment vertical="top"/>
    </xf>
    <xf numFmtId="0" fontId="3" fillId="4" borderId="39" xfId="0" applyFont="1" applyFill="1" applyBorder="1" applyAlignment="1">
      <alignment horizontal="right"/>
    </xf>
    <xf numFmtId="0" fontId="0" fillId="3" borderId="16" xfId="0" applyFill="1" applyBorder="1" applyAlignment="1">
      <alignment horizontal="right" vertical="top" wrapText="1"/>
    </xf>
    <xf numFmtId="0" fontId="0" fillId="3" borderId="19" xfId="0" applyFill="1" applyBorder="1" applyAlignment="1">
      <alignment horizontal="right" vertical="top" wrapText="1"/>
    </xf>
    <xf numFmtId="0" fontId="0" fillId="3" borderId="17" xfId="0" applyFill="1" applyBorder="1" applyAlignment="1">
      <alignment horizontal="right" vertical="top" wrapText="1"/>
    </xf>
    <xf numFmtId="0" fontId="0" fillId="3" borderId="38" xfId="0" applyFill="1" applyBorder="1" applyAlignment="1">
      <alignment horizontal="right" vertical="top" wrapText="1"/>
    </xf>
    <xf numFmtId="0" fontId="2" fillId="13" borderId="39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right" vertical="top" wrapText="1"/>
    </xf>
    <xf numFmtId="0" fontId="0" fillId="22" borderId="18" xfId="0" applyFill="1" applyBorder="1" applyAlignment="1">
      <alignment horizontal="left" vertical="top" wrapText="1"/>
    </xf>
    <xf numFmtId="0" fontId="0" fillId="22" borderId="19" xfId="0" applyFill="1" applyBorder="1" applyAlignment="1">
      <alignment horizontal="left" vertical="top" wrapText="1"/>
    </xf>
    <xf numFmtId="0" fontId="0" fillId="22" borderId="20" xfId="0" applyFill="1" applyBorder="1" applyAlignment="1">
      <alignment vertical="top"/>
    </xf>
    <xf numFmtId="1" fontId="0" fillId="22" borderId="20" xfId="0" applyNumberFormat="1" applyFill="1" applyBorder="1" applyAlignment="1">
      <alignment vertical="top"/>
    </xf>
    <xf numFmtId="164" fontId="0" fillId="22" borderId="20" xfId="0" applyNumberFormat="1" applyFill="1" applyBorder="1" applyAlignment="1">
      <alignment horizontal="right" vertical="top"/>
    </xf>
    <xf numFmtId="0" fontId="0" fillId="22" borderId="2" xfId="0" applyFill="1" applyBorder="1" applyAlignment="1">
      <alignment vertical="top"/>
    </xf>
    <xf numFmtId="164" fontId="0" fillId="22" borderId="20" xfId="0" applyNumberFormat="1" applyFill="1" applyBorder="1" applyAlignment="1">
      <alignment vertical="top"/>
    </xf>
    <xf numFmtId="164" fontId="0" fillId="22" borderId="22" xfId="0" applyNumberFormat="1" applyFill="1" applyBorder="1" applyAlignment="1">
      <alignment vertical="top"/>
    </xf>
    <xf numFmtId="1" fontId="0" fillId="22" borderId="22" xfId="0" applyNumberFormat="1" applyFill="1" applyBorder="1" applyAlignment="1">
      <alignment horizontal="left" vertical="top"/>
    </xf>
    <xf numFmtId="0" fontId="0" fillId="3" borderId="50" xfId="0" applyFill="1" applyBorder="1" applyAlignment="1">
      <alignment horizontal="center" vertical="top" wrapText="1"/>
    </xf>
    <xf numFmtId="0" fontId="0" fillId="3" borderId="53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right"/>
    </xf>
    <xf numFmtId="1" fontId="0" fillId="3" borderId="9" xfId="0" applyNumberForma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4" fillId="10" borderId="23" xfId="0" applyFont="1" applyFill="1" applyBorder="1" applyAlignment="1"/>
    <xf numFmtId="0" fontId="4" fillId="10" borderId="29" xfId="0" applyFont="1" applyFill="1" applyBorder="1" applyAlignment="1"/>
    <xf numFmtId="0" fontId="4" fillId="10" borderId="20" xfId="0" applyFont="1" applyFill="1" applyBorder="1" applyAlignment="1"/>
    <xf numFmtId="0" fontId="0" fillId="10" borderId="23" xfId="0" applyFill="1" applyBorder="1" applyAlignment="1"/>
    <xf numFmtId="0" fontId="0" fillId="10" borderId="29" xfId="0" applyFill="1" applyBorder="1" applyAlignment="1"/>
    <xf numFmtId="0" fontId="0" fillId="10" borderId="20" xfId="0" applyFill="1" applyBorder="1" applyAlignment="1"/>
    <xf numFmtId="0" fontId="4" fillId="10" borderId="39" xfId="0" applyFont="1" applyFill="1" applyBorder="1" applyAlignment="1"/>
    <xf numFmtId="1" fontId="4" fillId="3" borderId="23" xfId="0" applyNumberFormat="1" applyFont="1" applyFill="1" applyBorder="1" applyAlignment="1">
      <alignment vertical="center"/>
    </xf>
    <xf numFmtId="1" fontId="4" fillId="3" borderId="29" xfId="0" applyNumberFormat="1" applyFont="1" applyFill="1" applyBorder="1" applyAlignment="1">
      <alignment vertical="center"/>
    </xf>
    <xf numFmtId="1" fontId="4" fillId="3" borderId="20" xfId="0" applyNumberFormat="1" applyFont="1" applyFill="1" applyBorder="1" applyAlignment="1">
      <alignment vertical="center"/>
    </xf>
    <xf numFmtId="0" fontId="4" fillId="3" borderId="23" xfId="0" applyFont="1" applyFill="1" applyBorder="1" applyAlignment="1"/>
    <xf numFmtId="0" fontId="4" fillId="3" borderId="29" xfId="0" applyFont="1" applyFill="1" applyBorder="1" applyAlignment="1"/>
    <xf numFmtId="0" fontId="4" fillId="3" borderId="20" xfId="0" applyFont="1" applyFill="1" applyBorder="1" applyAlignment="1"/>
    <xf numFmtId="1" fontId="4" fillId="3" borderId="24" xfId="0" applyNumberFormat="1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center" vertical="center"/>
    </xf>
    <xf numFmtId="1" fontId="4" fillId="3" borderId="24" xfId="0" applyNumberFormat="1" applyFont="1" applyFill="1" applyBorder="1" applyAlignment="1">
      <alignment vertical="center"/>
    </xf>
    <xf numFmtId="1" fontId="1" fillId="3" borderId="24" xfId="0" applyNumberFormat="1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4" fillId="2" borderId="8" xfId="0" applyFont="1" applyFill="1" applyBorder="1"/>
    <xf numFmtId="0" fontId="4" fillId="2" borderId="17" xfId="0" applyFont="1" applyFill="1" applyBorder="1"/>
    <xf numFmtId="0" fontId="4" fillId="2" borderId="2" xfId="0" applyFont="1" applyFill="1" applyBorder="1"/>
    <xf numFmtId="0" fontId="4" fillId="2" borderId="15" xfId="0" applyFont="1" applyFill="1" applyBorder="1"/>
    <xf numFmtId="0" fontId="4" fillId="2" borderId="6" xfId="0" applyFont="1" applyFill="1" applyBorder="1"/>
    <xf numFmtId="0" fontId="4" fillId="2" borderId="16" xfId="0" applyFont="1" applyFill="1" applyBorder="1"/>
    <xf numFmtId="0" fontId="4" fillId="2" borderId="1" xfId="0" applyFont="1" applyFill="1" applyBorder="1"/>
    <xf numFmtId="0" fontId="4" fillId="2" borderId="14" xfId="0" applyFont="1" applyFill="1" applyBorder="1"/>
    <xf numFmtId="1" fontId="6" fillId="23" borderId="36" xfId="0" applyNumberFormat="1" applyFont="1" applyFill="1" applyBorder="1" applyAlignment="1">
      <alignment horizontal="right" vertical="center" wrapText="1"/>
    </xf>
    <xf numFmtId="1" fontId="6" fillId="15" borderId="36" xfId="0" applyNumberFormat="1" applyFont="1" applyFill="1" applyBorder="1" applyAlignment="1">
      <alignment horizontal="right" vertical="center" wrapText="1"/>
    </xf>
    <xf numFmtId="0" fontId="0" fillId="2" borderId="18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0" fillId="2" borderId="21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1" fontId="8" fillId="3" borderId="31" xfId="0" applyNumberFormat="1" applyFont="1" applyFill="1" applyBorder="1" applyAlignment="1">
      <alignment horizontal="left" vertical="center" wrapText="1"/>
    </xf>
    <xf numFmtId="1" fontId="8" fillId="3" borderId="32" xfId="0" applyNumberFormat="1" applyFont="1" applyFill="1" applyBorder="1" applyAlignment="1">
      <alignment horizontal="left" vertical="center" wrapText="1"/>
    </xf>
    <xf numFmtId="0" fontId="0" fillId="3" borderId="37" xfId="0" applyFill="1" applyBorder="1" applyAlignment="1">
      <alignment horizontal="center" vertical="top" wrapText="1"/>
    </xf>
    <xf numFmtId="0" fontId="0" fillId="10" borderId="23" xfId="0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1" fontId="8" fillId="3" borderId="53" xfId="0" applyNumberFormat="1" applyFont="1" applyFill="1" applyBorder="1" applyAlignment="1">
      <alignment horizontal="left" vertical="center" wrapText="1"/>
    </xf>
    <xf numFmtId="0" fontId="0" fillId="2" borderId="8" xfId="0" applyFont="1" applyFill="1" applyBorder="1"/>
    <xf numFmtId="0" fontId="0" fillId="2" borderId="17" xfId="0" applyFill="1" applyBorder="1"/>
    <xf numFmtId="0" fontId="0" fillId="2" borderId="2" xfId="0" applyFill="1" applyBorder="1"/>
    <xf numFmtId="0" fontId="0" fillId="2" borderId="15" xfId="0" applyFill="1" applyBorder="1"/>
    <xf numFmtId="0" fontId="13" fillId="12" borderId="0" xfId="0" applyFont="1" applyFill="1" applyAlignment="1">
      <alignment vertical="top"/>
    </xf>
    <xf numFmtId="0" fontId="4" fillId="2" borderId="26" xfId="0" applyFont="1" applyFill="1" applyBorder="1"/>
    <xf numFmtId="0" fontId="0" fillId="2" borderId="18" xfId="0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9" xfId="0" applyFill="1" applyBorder="1"/>
    <xf numFmtId="168" fontId="13" fillId="3" borderId="0" xfId="0" quotePrefix="1" applyNumberFormat="1" applyFont="1" applyFill="1"/>
    <xf numFmtId="0" fontId="0" fillId="2" borderId="8" xfId="0" applyFill="1" applyBorder="1"/>
    <xf numFmtId="0" fontId="0" fillId="2" borderId="6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horizontal="right" vertical="top" wrapText="1"/>
    </xf>
    <xf numFmtId="164" fontId="0" fillId="2" borderId="1" xfId="0" applyNumberFormat="1" applyFill="1" applyBorder="1" applyAlignment="1">
      <alignment vertical="top"/>
    </xf>
    <xf numFmtId="164" fontId="0" fillId="2" borderId="1" xfId="0" applyNumberFormat="1" applyFill="1" applyBorder="1" applyAlignment="1">
      <alignment horizontal="right" vertical="top"/>
    </xf>
    <xf numFmtId="164" fontId="0" fillId="2" borderId="7" xfId="0" applyNumberFormat="1" applyFill="1" applyBorder="1" applyAlignment="1">
      <alignment vertical="top"/>
    </xf>
    <xf numFmtId="1" fontId="0" fillId="2" borderId="7" xfId="0" applyNumberFormat="1" applyFill="1" applyBorder="1" applyAlignment="1">
      <alignment vertical="top"/>
    </xf>
    <xf numFmtId="0" fontId="0" fillId="3" borderId="65" xfId="0" applyFill="1" applyBorder="1" applyAlignment="1">
      <alignment horizontal="left" wrapText="1"/>
    </xf>
    <xf numFmtId="1" fontId="0" fillId="3" borderId="31" xfId="0" applyNumberFormat="1" applyFill="1" applyBorder="1" applyAlignment="1">
      <alignment vertical="top"/>
    </xf>
    <xf numFmtId="168" fontId="13" fillId="19" borderId="0" xfId="0" applyNumberFormat="1" applyFont="1" applyFill="1" applyAlignment="1"/>
    <xf numFmtId="166" fontId="0" fillId="3" borderId="20" xfId="0" quotePrefix="1" applyNumberFormat="1" applyFill="1" applyBorder="1" applyAlignment="1">
      <alignment horizontal="left" vertical="top" wrapText="1"/>
    </xf>
    <xf numFmtId="49" fontId="0" fillId="3" borderId="19" xfId="0" applyNumberFormat="1" applyFill="1" applyBorder="1" applyAlignment="1">
      <alignment horizontal="left" vertical="top" wrapText="1"/>
    </xf>
    <xf numFmtId="0" fontId="14" fillId="3" borderId="0" xfId="0" applyFont="1" applyFill="1" applyAlignment="1">
      <alignment vertical="top"/>
    </xf>
    <xf numFmtId="1" fontId="0" fillId="3" borderId="22" xfId="0" applyNumberFormat="1" applyFill="1" applyBorder="1" applyAlignment="1">
      <alignment horizontal="left" vertical="top" wrapText="1"/>
    </xf>
    <xf numFmtId="1" fontId="1" fillId="3" borderId="22" xfId="0" applyNumberFormat="1" applyFont="1" applyFill="1" applyBorder="1" applyAlignment="1">
      <alignment horizontal="left" vertical="top"/>
    </xf>
    <xf numFmtId="0" fontId="13" fillId="3" borderId="0" xfId="0" applyFont="1" applyFill="1" applyAlignment="1"/>
    <xf numFmtId="168" fontId="14" fillId="3" borderId="0" xfId="0" applyNumberFormat="1" applyFont="1" applyFill="1" applyAlignment="1"/>
    <xf numFmtId="1" fontId="0" fillId="12" borderId="22" xfId="0" applyNumberFormat="1" applyFill="1" applyBorder="1" applyAlignment="1"/>
    <xf numFmtId="1" fontId="0" fillId="12" borderId="22" xfId="0" applyNumberFormat="1" applyFill="1" applyBorder="1" applyAlignment="1">
      <alignment horizontal="right"/>
    </xf>
    <xf numFmtId="0" fontId="3" fillId="4" borderId="39" xfId="0" applyFont="1" applyFill="1" applyBorder="1" applyAlignment="1">
      <alignment horizontal="left"/>
    </xf>
    <xf numFmtId="0" fontId="3" fillId="4" borderId="48" xfId="0" applyFont="1" applyFill="1" applyBorder="1" applyAlignment="1">
      <alignment horizontal="center" vertical="center"/>
    </xf>
    <xf numFmtId="0" fontId="14" fillId="3" borderId="0" xfId="0" applyFont="1" applyFill="1"/>
    <xf numFmtId="0" fontId="16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top"/>
    </xf>
    <xf numFmtId="0" fontId="2" fillId="2" borderId="39" xfId="0" applyFont="1" applyFill="1" applyBorder="1" applyAlignment="1">
      <alignment vertical="top"/>
    </xf>
    <xf numFmtId="1" fontId="2" fillId="13" borderId="42" xfId="0" applyNumberFormat="1" applyFont="1" applyFill="1" applyBorder="1" applyAlignment="1">
      <alignment horizontal="left" vertical="top" wrapText="1"/>
    </xf>
    <xf numFmtId="164" fontId="0" fillId="15" borderId="22" xfId="0" applyNumberFormat="1" applyFill="1" applyBorder="1" applyAlignment="1"/>
    <xf numFmtId="0" fontId="0" fillId="3" borderId="18" xfId="0" applyFill="1" applyBorder="1" applyAlignment="1">
      <alignment vertical="top" wrapText="1"/>
    </xf>
    <xf numFmtId="0" fontId="0" fillId="8" borderId="1" xfId="0" applyFill="1" applyBorder="1" applyAlignment="1">
      <alignment vertical="top"/>
    </xf>
    <xf numFmtId="0" fontId="4" fillId="2" borderId="6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/>
    <xf numFmtId="164" fontId="0" fillId="2" borderId="14" xfId="0" applyNumberFormat="1" applyFill="1" applyBorder="1" applyAlignment="1">
      <alignment vertical="top"/>
    </xf>
    <xf numFmtId="1" fontId="0" fillId="2" borderId="82" xfId="0" applyNumberFormat="1" applyFill="1" applyBorder="1" applyAlignment="1"/>
    <xf numFmtId="1" fontId="1" fillId="2" borderId="52" xfId="0" applyNumberFormat="1" applyFont="1" applyFill="1" applyBorder="1" applyAlignment="1">
      <alignment vertical="center"/>
    </xf>
    <xf numFmtId="0" fontId="2" fillId="24" borderId="33" xfId="0" applyFont="1" applyFill="1" applyBorder="1" applyAlignment="1">
      <alignment horizontal="left" vertical="top" wrapText="1"/>
    </xf>
    <xf numFmtId="0" fontId="2" fillId="24" borderId="18" xfId="0" applyFont="1" applyFill="1" applyBorder="1" applyAlignment="1">
      <alignment horizontal="left" vertical="top" wrapText="1"/>
    </xf>
    <xf numFmtId="0" fontId="2" fillId="24" borderId="19" xfId="0" applyFont="1" applyFill="1" applyBorder="1" applyAlignment="1">
      <alignment horizontal="left" vertical="top" wrapText="1"/>
    </xf>
    <xf numFmtId="0" fontId="0" fillId="24" borderId="19" xfId="0" applyFill="1" applyBorder="1" applyAlignment="1">
      <alignment horizontal="left" vertical="top" wrapText="1"/>
    </xf>
    <xf numFmtId="0" fontId="0" fillId="24" borderId="19" xfId="0" applyFill="1" applyBorder="1" applyAlignment="1">
      <alignment horizontal="right" vertical="top" wrapText="1"/>
    </xf>
    <xf numFmtId="0" fontId="0" fillId="24" borderId="20" xfId="0" applyFill="1" applyBorder="1" applyAlignment="1">
      <alignment vertical="top"/>
    </xf>
    <xf numFmtId="164" fontId="0" fillId="24" borderId="20" xfId="0" applyNumberFormat="1" applyFill="1" applyBorder="1" applyAlignment="1">
      <alignment vertical="top"/>
    </xf>
    <xf numFmtId="164" fontId="0" fillId="24" borderId="20" xfId="0" applyNumberFormat="1" applyFill="1" applyBorder="1" applyAlignment="1">
      <alignment horizontal="right" vertical="top"/>
    </xf>
    <xf numFmtId="164" fontId="0" fillId="24" borderId="22" xfId="0" applyNumberFormat="1" applyFill="1" applyBorder="1" applyAlignment="1">
      <alignment vertical="top"/>
    </xf>
    <xf numFmtId="1" fontId="0" fillId="24" borderId="22" xfId="0" applyNumberFormat="1" applyFill="1" applyBorder="1" applyAlignment="1">
      <alignment vertical="top"/>
    </xf>
    <xf numFmtId="1" fontId="0" fillId="12" borderId="83" xfId="0" applyNumberFormat="1" applyFill="1" applyBorder="1" applyAlignment="1"/>
    <xf numFmtId="1" fontId="0" fillId="15" borderId="22" xfId="0" applyNumberFormat="1" applyFill="1" applyBorder="1" applyAlignment="1">
      <alignment vertical="top"/>
    </xf>
    <xf numFmtId="0" fontId="3" fillId="4" borderId="23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8" fontId="12" fillId="12" borderId="31" xfId="0" applyNumberFormat="1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left" wrapText="1"/>
    </xf>
    <xf numFmtId="0" fontId="3" fillId="4" borderId="39" xfId="0" applyFont="1" applyFill="1" applyBorder="1" applyAlignment="1">
      <alignment horizontal="left"/>
    </xf>
    <xf numFmtId="0" fontId="0" fillId="3" borderId="47" xfId="0" applyFill="1" applyBorder="1" applyAlignment="1">
      <alignment horizontal="center" vertical="top" wrapText="1"/>
    </xf>
    <xf numFmtId="0" fontId="0" fillId="3" borderId="48" xfId="0" applyFill="1" applyBorder="1" applyAlignment="1">
      <alignment horizontal="center" vertical="top" wrapText="1"/>
    </xf>
    <xf numFmtId="0" fontId="0" fillId="3" borderId="52" xfId="0" applyFill="1" applyBorder="1" applyAlignment="1">
      <alignment horizontal="center" vertical="top" wrapText="1"/>
    </xf>
    <xf numFmtId="0" fontId="6" fillId="4" borderId="24" xfId="0" applyFont="1" applyFill="1" applyBorder="1" applyAlignment="1">
      <alignment horizontal="left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6" fillId="4" borderId="60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top" wrapText="1"/>
    </xf>
    <xf numFmtId="0" fontId="0" fillId="3" borderId="50" xfId="0" applyFill="1" applyBorder="1" applyAlignment="1">
      <alignment horizontal="center" vertical="top" wrapText="1"/>
    </xf>
    <xf numFmtId="0" fontId="0" fillId="3" borderId="5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3" fillId="4" borderId="48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/>
    </xf>
    <xf numFmtId="0" fontId="4" fillId="10" borderId="29" xfId="0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23" xfId="0" applyFont="1" applyFill="1" applyBorder="1" applyAlignment="1">
      <alignment horizontal="center"/>
    </xf>
    <xf numFmtId="0" fontId="0" fillId="10" borderId="29" xfId="0" applyFont="1" applyFill="1" applyBorder="1" applyAlignment="1">
      <alignment horizontal="center"/>
    </xf>
    <xf numFmtId="0" fontId="0" fillId="10" borderId="20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right" vertical="center"/>
    </xf>
    <xf numFmtId="0" fontId="1" fillId="3" borderId="25" xfId="0" applyFont="1" applyFill="1" applyBorder="1" applyAlignment="1">
      <alignment horizontal="right" vertical="center"/>
    </xf>
    <xf numFmtId="0" fontId="1" fillId="3" borderId="22" xfId="0" applyFont="1" applyFill="1" applyBorder="1" applyAlignment="1">
      <alignment horizontal="right" vertical="center"/>
    </xf>
    <xf numFmtId="1" fontId="0" fillId="3" borderId="37" xfId="0" applyNumberFormat="1" applyFill="1" applyBorder="1" applyAlignment="1">
      <alignment horizontal="center" vertical="center"/>
    </xf>
    <xf numFmtId="1" fontId="0" fillId="3" borderId="46" xfId="0" applyNumberFormat="1" applyFill="1" applyBorder="1" applyAlignment="1">
      <alignment horizontal="center" vertical="center"/>
    </xf>
    <xf numFmtId="1" fontId="0" fillId="3" borderId="62" xfId="0" applyNumberFormat="1" applyFill="1" applyBorder="1" applyAlignment="1">
      <alignment horizontal="center" vertical="center"/>
    </xf>
    <xf numFmtId="1" fontId="0" fillId="3" borderId="65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1" fontId="4" fillId="3" borderId="24" xfId="0" applyNumberFormat="1" applyFont="1" applyFill="1" applyBorder="1" applyAlignment="1">
      <alignment horizontal="left" vertical="center" wrapText="1"/>
    </xf>
    <xf numFmtId="1" fontId="4" fillId="3" borderId="25" xfId="0" applyNumberFormat="1" applyFont="1" applyFill="1" applyBorder="1" applyAlignment="1">
      <alignment horizontal="left" vertical="center" wrapText="1"/>
    </xf>
    <xf numFmtId="1" fontId="4" fillId="3" borderId="22" xfId="0" applyNumberFormat="1" applyFont="1" applyFill="1" applyBorder="1" applyAlignment="1">
      <alignment horizontal="left" vertical="center" wrapText="1"/>
    </xf>
    <xf numFmtId="1" fontId="4" fillId="3" borderId="23" xfId="0" applyNumberFormat="1" applyFont="1" applyFill="1" applyBorder="1" applyAlignment="1">
      <alignment horizontal="center" vertical="center"/>
    </xf>
    <xf numFmtId="1" fontId="4" fillId="3" borderId="29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/>
    </xf>
    <xf numFmtId="1" fontId="4" fillId="3" borderId="37" xfId="0" applyNumberFormat="1" applyFont="1" applyFill="1" applyBorder="1" applyAlignment="1">
      <alignment horizontal="center" vertical="center"/>
    </xf>
    <xf numFmtId="1" fontId="4" fillId="3" borderId="62" xfId="0" applyNumberFormat="1" applyFont="1" applyFill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/>
    </xf>
    <xf numFmtId="1" fontId="1" fillId="3" borderId="24" xfId="0" applyNumberFormat="1" applyFont="1" applyFill="1" applyBorder="1" applyAlignment="1">
      <alignment horizontal="right" vertical="center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1" fontId="4" fillId="3" borderId="24" xfId="0" applyNumberFormat="1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 wrapText="1"/>
    </xf>
    <xf numFmtId="1" fontId="1" fillId="3" borderId="25" xfId="0" applyNumberFormat="1" applyFont="1" applyFill="1" applyBorder="1" applyAlignment="1">
      <alignment horizontal="right" vertical="center" wrapText="1"/>
    </xf>
    <xf numFmtId="1" fontId="1" fillId="3" borderId="22" xfId="0" applyNumberFormat="1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" fillId="3" borderId="22" xfId="0" applyFont="1" applyFill="1" applyBorder="1" applyAlignment="1">
      <alignment horizontal="right" vertical="center" wrapText="1"/>
    </xf>
    <xf numFmtId="1" fontId="4" fillId="3" borderId="25" xfId="0" applyNumberFormat="1" applyFont="1" applyFill="1" applyBorder="1" applyAlignment="1">
      <alignment horizontal="center" vertical="center"/>
    </xf>
    <xf numFmtId="1" fontId="4" fillId="3" borderId="22" xfId="0" applyNumberFormat="1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top" wrapText="1"/>
    </xf>
    <xf numFmtId="0" fontId="4" fillId="3" borderId="79" xfId="0" applyFont="1" applyFill="1" applyBorder="1" applyAlignment="1">
      <alignment horizontal="center" vertical="top" wrapText="1"/>
    </xf>
    <xf numFmtId="0" fontId="4" fillId="3" borderId="80" xfId="0" applyFont="1" applyFill="1" applyBorder="1" applyAlignment="1">
      <alignment horizontal="center" vertical="top" wrapText="1"/>
    </xf>
    <xf numFmtId="1" fontId="3" fillId="3" borderId="25" xfId="0" applyNumberFormat="1" applyFont="1" applyFill="1" applyBorder="1" applyAlignment="1">
      <alignment horizontal="left" vertical="center" wrapText="1"/>
    </xf>
    <xf numFmtId="1" fontId="3" fillId="3" borderId="22" xfId="0" applyNumberFormat="1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1" fontId="1" fillId="3" borderId="53" xfId="0" applyNumberFormat="1" applyFont="1" applyFill="1" applyBorder="1" applyAlignment="1">
      <alignment horizontal="left" vertical="center" wrapText="1"/>
    </xf>
    <xf numFmtId="1" fontId="1" fillId="3" borderId="31" xfId="0" applyNumberFormat="1" applyFont="1" applyFill="1" applyBorder="1" applyAlignment="1">
      <alignment horizontal="left" vertical="center" wrapText="1"/>
    </xf>
    <xf numFmtId="1" fontId="1" fillId="3" borderId="32" xfId="0" applyNumberFormat="1" applyFont="1" applyFill="1" applyBorder="1" applyAlignment="1">
      <alignment horizontal="left" vertical="center" wrapText="1"/>
    </xf>
    <xf numFmtId="1" fontId="1" fillId="3" borderId="24" xfId="0" applyNumberFormat="1" applyFont="1" applyFill="1" applyBorder="1" applyAlignment="1">
      <alignment horizontal="right" vertical="center" wrapText="1"/>
    </xf>
    <xf numFmtId="1" fontId="1" fillId="3" borderId="52" xfId="0" applyNumberFormat="1" applyFont="1" applyFill="1" applyBorder="1" applyAlignment="1">
      <alignment horizontal="right" vertical="center"/>
    </xf>
    <xf numFmtId="1" fontId="1" fillId="3" borderId="55" xfId="0" applyNumberFormat="1" applyFont="1" applyFill="1" applyBorder="1" applyAlignment="1">
      <alignment horizontal="right" vertical="center"/>
    </xf>
    <xf numFmtId="1" fontId="4" fillId="3" borderId="1" xfId="0" applyNumberFormat="1" applyFont="1" applyFill="1" applyBorder="1" applyAlignment="1">
      <alignment horizontal="right" vertical="center"/>
    </xf>
    <xf numFmtId="1" fontId="4" fillId="3" borderId="3" xfId="0" applyNumberFormat="1" applyFont="1" applyFill="1" applyBorder="1" applyAlignment="1">
      <alignment horizontal="right" vertical="center"/>
    </xf>
    <xf numFmtId="1" fontId="4" fillId="3" borderId="48" xfId="0" applyNumberFormat="1" applyFont="1" applyFill="1" applyBorder="1" applyAlignment="1">
      <alignment horizontal="right" vertical="center"/>
    </xf>
    <xf numFmtId="1" fontId="4" fillId="3" borderId="57" xfId="0" applyNumberFormat="1" applyFont="1" applyFill="1" applyBorder="1" applyAlignment="1">
      <alignment horizontal="right" vertical="center"/>
    </xf>
    <xf numFmtId="1" fontId="4" fillId="3" borderId="52" xfId="0" applyNumberFormat="1" applyFont="1" applyFill="1" applyBorder="1" applyAlignment="1">
      <alignment horizontal="right" vertical="center"/>
    </xf>
    <xf numFmtId="1" fontId="4" fillId="3" borderId="55" xfId="0" applyNumberFormat="1" applyFont="1" applyFill="1" applyBorder="1" applyAlignment="1">
      <alignment horizontal="right" vertical="center"/>
    </xf>
    <xf numFmtId="1" fontId="4" fillId="3" borderId="24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right" vertical="center"/>
    </xf>
    <xf numFmtId="1" fontId="8" fillId="3" borderId="55" xfId="0" applyNumberFormat="1" applyFont="1" applyFill="1" applyBorder="1" applyAlignment="1">
      <alignment horizontal="right" vertical="center"/>
    </xf>
    <xf numFmtId="1" fontId="1" fillId="3" borderId="53" xfId="0" applyNumberFormat="1" applyFont="1" applyFill="1" applyBorder="1" applyAlignment="1">
      <alignment horizontal="right" vertical="center"/>
    </xf>
    <xf numFmtId="1" fontId="1" fillId="3" borderId="31" xfId="0" applyNumberFormat="1" applyFont="1" applyFill="1" applyBorder="1" applyAlignment="1">
      <alignment horizontal="right" vertical="center"/>
    </xf>
    <xf numFmtId="1" fontId="1" fillId="3" borderId="32" xfId="0" applyNumberFormat="1" applyFont="1" applyFill="1" applyBorder="1" applyAlignment="1">
      <alignment horizontal="right" vertical="center"/>
    </xf>
    <xf numFmtId="1" fontId="4" fillId="3" borderId="53" xfId="0" applyNumberFormat="1" applyFont="1" applyFill="1" applyBorder="1" applyAlignment="1">
      <alignment horizontal="right" vertical="center"/>
    </xf>
    <xf numFmtId="1" fontId="4" fillId="3" borderId="31" xfId="0" applyNumberFormat="1" applyFont="1" applyFill="1" applyBorder="1" applyAlignment="1">
      <alignment horizontal="right" vertical="center"/>
    </xf>
    <xf numFmtId="1" fontId="4" fillId="3" borderId="32" xfId="0" applyNumberFormat="1" applyFont="1" applyFill="1" applyBorder="1" applyAlignment="1">
      <alignment horizontal="right" vertical="center"/>
    </xf>
    <xf numFmtId="1" fontId="1" fillId="3" borderId="25" xfId="0" applyNumberFormat="1" applyFont="1" applyFill="1" applyBorder="1" applyAlignment="1">
      <alignment horizontal="left" vertical="center" wrapText="1"/>
    </xf>
    <xf numFmtId="1" fontId="1" fillId="3" borderId="22" xfId="0" applyNumberFormat="1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 wrapText="1"/>
    </xf>
    <xf numFmtId="168" fontId="13" fillId="12" borderId="3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top" wrapText="1"/>
    </xf>
    <xf numFmtId="0" fontId="4" fillId="3" borderId="77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48" xfId="0" applyFont="1" applyFill="1" applyBorder="1" applyAlignment="1">
      <alignment horizontal="center" vertical="top" wrapText="1"/>
    </xf>
    <xf numFmtId="0" fontId="4" fillId="3" borderId="52" xfId="0" applyFont="1" applyFill="1" applyBorder="1" applyAlignment="1">
      <alignment horizontal="center" vertical="top" wrapText="1"/>
    </xf>
    <xf numFmtId="1" fontId="0" fillId="3" borderId="23" xfId="0" applyNumberFormat="1" applyFill="1" applyBorder="1" applyAlignment="1">
      <alignment horizontal="right" vertical="center"/>
    </xf>
    <xf numFmtId="1" fontId="0" fillId="3" borderId="20" xfId="0" applyNumberFormat="1" applyFill="1" applyBorder="1" applyAlignment="1">
      <alignment horizontal="right" vertical="center"/>
    </xf>
    <xf numFmtId="1" fontId="0" fillId="3" borderId="37" xfId="0" applyNumberFormat="1" applyFill="1" applyBorder="1" applyAlignment="1">
      <alignment horizontal="center"/>
    </xf>
    <xf numFmtId="1" fontId="0" fillId="3" borderId="50" xfId="0" applyNumberFormat="1" applyFill="1" applyBorder="1" applyAlignment="1">
      <alignment horizontal="center"/>
    </xf>
    <xf numFmtId="1" fontId="0" fillId="3" borderId="46" xfId="0" applyNumberFormat="1" applyFill="1" applyBorder="1" applyAlignment="1">
      <alignment horizontal="center"/>
    </xf>
    <xf numFmtId="1" fontId="0" fillId="3" borderId="62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3" borderId="65" xfId="0" applyNumberFormat="1" applyFill="1" applyBorder="1" applyAlignment="1">
      <alignment horizontal="center"/>
    </xf>
    <xf numFmtId="1" fontId="0" fillId="3" borderId="21" xfId="0" applyNumberFormat="1" applyFill="1" applyBorder="1" applyAlignment="1">
      <alignment horizontal="center"/>
    </xf>
    <xf numFmtId="1" fontId="0" fillId="3" borderId="30" xfId="0" applyNumberFormat="1" applyFill="1" applyBorder="1" applyAlignment="1">
      <alignment horizontal="center"/>
    </xf>
    <xf numFmtId="1" fontId="0" fillId="3" borderId="19" xfId="0" applyNumberFormat="1" applyFill="1" applyBorder="1" applyAlignment="1">
      <alignment horizont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63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0" fontId="0" fillId="2" borderId="39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chat" id="{1156B3F4-1B51-462C-9886-30571BE4D06E}" userId="S-1-5-21-27800273-1052648655-3620229646-1610" providerId="AD"/>
  <person displayName="Design" id="{545623D3-5106-428C-A108-576C1EAE5AAB}" userId="S::design@promerkasuisse.onmicrosoft.com::009b9f8b-b0fa-4c8f-bae2-68bb8d0badc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5-01-28T13:16:05.21" personId="{1156B3F4-1B51-462C-9886-30571BE4D06E}" id="{4DD9CEE2-0BB3-4BCF-8017-C288645DC9A7}">
    <text>1 affaire - 42pces</text>
  </threadedComment>
  <threadedComment ref="AB7" dT="2024-02-22T15:01:50.31" personId="{545623D3-5106-428C-A108-576C1EAE5AAB}" id="{4370C45E-A080-43AA-B329-0B5988D1D058}">
    <text xml:space="preserve">1 AFFAIRE = 42 PCES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5D73-58F0-4316-BC0B-DAF21BFFC783}">
  <sheetPr>
    <tabColor theme="0"/>
  </sheetPr>
  <dimension ref="A2:T11"/>
  <sheetViews>
    <sheetView workbookViewId="0">
      <selection activeCell="S10" sqref="S10"/>
    </sheetView>
  </sheetViews>
  <sheetFormatPr baseColWidth="10" defaultColWidth="11.44140625" defaultRowHeight="14.4" x14ac:dyDescent="0.3"/>
  <cols>
    <col min="1" max="1" width="4.44140625" style="685" customWidth="1"/>
    <col min="2" max="2" width="24.44140625" style="56" bestFit="1" customWidth="1"/>
    <col min="3" max="3" width="24.33203125" style="56" customWidth="1"/>
    <col min="4" max="8" width="7.88671875" style="1" customWidth="1"/>
    <col min="9" max="9" width="1.88671875" style="1" customWidth="1"/>
    <col min="10" max="10" width="10.21875" style="1" bestFit="1" customWidth="1"/>
    <col min="11" max="11" width="10.21875" style="1" customWidth="1"/>
    <col min="12" max="12" width="1.88671875" style="1" customWidth="1"/>
    <col min="13" max="14" width="11.33203125" style="1" customWidth="1"/>
    <col min="15" max="15" width="1.88671875" style="1" customWidth="1"/>
    <col min="16" max="17" width="16.44140625" style="1" customWidth="1"/>
    <col min="18" max="18" width="1.88671875" style="1" customWidth="1"/>
    <col min="19" max="19" width="12.33203125" style="1" bestFit="1" customWidth="1"/>
    <col min="20" max="20" width="40.21875" style="1" hidden="1" customWidth="1"/>
    <col min="21" max="21" width="41.109375" style="1" bestFit="1" customWidth="1"/>
    <col min="22" max="16384" width="11.44140625" style="1"/>
  </cols>
  <sheetData>
    <row r="2" spans="1:20" x14ac:dyDescent="0.3">
      <c r="B2" s="56" t="s">
        <v>77</v>
      </c>
    </row>
    <row r="3" spans="1:20" x14ac:dyDescent="0.3">
      <c r="B3" s="56" t="s">
        <v>78</v>
      </c>
    </row>
    <row r="4" spans="1:20" x14ac:dyDescent="0.3">
      <c r="M4" s="1" t="s">
        <v>445</v>
      </c>
      <c r="N4" s="1" t="s">
        <v>506</v>
      </c>
    </row>
    <row r="5" spans="1:20" ht="14.4" customHeight="1" x14ac:dyDescent="0.3">
      <c r="B5" s="718" t="s">
        <v>72</v>
      </c>
      <c r="C5" s="719"/>
      <c r="D5" s="721" t="s">
        <v>54</v>
      </c>
      <c r="E5" s="722"/>
      <c r="F5" s="722"/>
      <c r="G5" s="722"/>
      <c r="H5" s="723"/>
      <c r="I5" s="712"/>
      <c r="J5" s="720" t="s">
        <v>3</v>
      </c>
      <c r="K5" s="720" t="s">
        <v>57</v>
      </c>
      <c r="L5" s="712"/>
      <c r="M5" s="720" t="s">
        <v>1</v>
      </c>
      <c r="N5" s="720" t="s">
        <v>2</v>
      </c>
      <c r="O5" s="712"/>
      <c r="P5" s="710" t="s">
        <v>101</v>
      </c>
      <c r="Q5" s="710" t="s">
        <v>428</v>
      </c>
      <c r="R5" s="712"/>
      <c r="S5" s="714" t="s">
        <v>35</v>
      </c>
      <c r="T5" s="716" t="s">
        <v>62</v>
      </c>
    </row>
    <row r="6" spans="1:20" x14ac:dyDescent="0.3">
      <c r="B6" s="66" t="s">
        <v>56</v>
      </c>
      <c r="C6" s="67" t="s">
        <v>55</v>
      </c>
      <c r="D6" s="68">
        <v>2025</v>
      </c>
      <c r="E6" s="68">
        <v>2024</v>
      </c>
      <c r="F6" s="68">
        <v>2023</v>
      </c>
      <c r="G6" s="68">
        <v>2022</v>
      </c>
      <c r="H6" s="68">
        <v>2021</v>
      </c>
      <c r="I6" s="713"/>
      <c r="J6" s="711"/>
      <c r="K6" s="711"/>
      <c r="L6" s="713"/>
      <c r="M6" s="711"/>
      <c r="N6" s="711"/>
      <c r="O6" s="713"/>
      <c r="P6" s="711"/>
      <c r="Q6" s="711"/>
      <c r="R6" s="713"/>
      <c r="S6" s="715"/>
      <c r="T6" s="717"/>
    </row>
    <row r="7" spans="1:20" s="9" customFormat="1" ht="13.8" customHeight="1" x14ac:dyDescent="0.3">
      <c r="A7" s="686"/>
      <c r="B7" s="58" t="s">
        <v>141</v>
      </c>
      <c r="C7" s="62" t="s">
        <v>79</v>
      </c>
      <c r="D7" s="6">
        <v>0</v>
      </c>
      <c r="E7" s="6">
        <v>27</v>
      </c>
      <c r="F7" s="6">
        <v>89</v>
      </c>
      <c r="G7" s="6">
        <v>125</v>
      </c>
      <c r="H7" s="6">
        <v>102</v>
      </c>
      <c r="I7" s="7"/>
      <c r="J7" s="6">
        <v>0</v>
      </c>
      <c r="K7" s="6">
        <v>0</v>
      </c>
      <c r="L7" s="7"/>
      <c r="M7" s="50"/>
      <c r="N7" s="47"/>
      <c r="O7" s="7"/>
      <c r="P7" s="8"/>
      <c r="Q7" s="8"/>
      <c r="R7" s="7"/>
      <c r="S7" s="48"/>
      <c r="T7" s="53"/>
    </row>
    <row r="8" spans="1:20" s="9" customFormat="1" x14ac:dyDescent="0.3">
      <c r="A8" s="686"/>
      <c r="B8" s="59" t="s">
        <v>73</v>
      </c>
      <c r="C8" s="63" t="s">
        <v>80</v>
      </c>
      <c r="D8" s="18">
        <v>49</v>
      </c>
      <c r="E8" s="18">
        <f>8+68</f>
        <v>76</v>
      </c>
      <c r="F8" s="18">
        <v>0</v>
      </c>
      <c r="G8" s="18">
        <v>0</v>
      </c>
      <c r="H8" s="18">
        <v>0</v>
      </c>
      <c r="I8" s="19"/>
      <c r="J8" s="18">
        <v>3</v>
      </c>
      <c r="K8" s="18">
        <v>20</v>
      </c>
      <c r="L8" s="19"/>
      <c r="M8" s="50"/>
      <c r="N8" s="49"/>
      <c r="O8" s="19"/>
      <c r="P8" s="49"/>
      <c r="Q8" s="49"/>
      <c r="R8" s="19"/>
      <c r="S8" s="51"/>
      <c r="T8" s="54"/>
    </row>
    <row r="9" spans="1:20" s="100" customFormat="1" x14ac:dyDescent="0.2">
      <c r="A9" s="685">
        <v>4.03</v>
      </c>
      <c r="B9" s="92" t="s">
        <v>99</v>
      </c>
      <c r="C9" s="93"/>
      <c r="D9" s="94">
        <f>SUM(D7:D8)</f>
        <v>49</v>
      </c>
      <c r="E9" s="94">
        <f>SUM(E7:E8)</f>
        <v>103</v>
      </c>
      <c r="F9" s="94">
        <f>SUM(F7:F8)</f>
        <v>89</v>
      </c>
      <c r="G9" s="94">
        <f>SUM(G7:G8)</f>
        <v>125</v>
      </c>
      <c r="H9" s="94">
        <f>SUM(H7:H8)</f>
        <v>102</v>
      </c>
      <c r="I9" s="95"/>
      <c r="J9" s="94">
        <f>J8+J7</f>
        <v>3</v>
      </c>
      <c r="K9" s="94">
        <v>20</v>
      </c>
      <c r="L9" s="95"/>
      <c r="M9" s="96">
        <f>SUM(E9:G9)/3</f>
        <v>105.66666666666667</v>
      </c>
      <c r="N9" s="97">
        <f>(SUM(D9:G9)/38)</f>
        <v>9.6315789473684212</v>
      </c>
      <c r="O9" s="95"/>
      <c r="P9" s="97">
        <f>N9*3</f>
        <v>28.894736842105264</v>
      </c>
      <c r="Q9" s="97">
        <f>N9*3</f>
        <v>28.894736842105264</v>
      </c>
      <c r="R9" s="95"/>
      <c r="S9" s="98">
        <f>Q9-(J9+K9)</f>
        <v>5.8947368421052637</v>
      </c>
      <c r="T9" s="99"/>
    </row>
    <row r="10" spans="1:20" s="9" customFormat="1" x14ac:dyDescent="0.3">
      <c r="A10" s="686"/>
      <c r="B10" s="52"/>
      <c r="C10" s="63"/>
      <c r="D10" s="18"/>
      <c r="E10" s="18"/>
      <c r="F10" s="18"/>
      <c r="G10" s="18"/>
      <c r="H10" s="18"/>
      <c r="I10" s="19"/>
      <c r="J10" s="18"/>
      <c r="K10" s="18"/>
      <c r="L10" s="19"/>
      <c r="M10" s="50"/>
      <c r="N10" s="49"/>
      <c r="O10" s="19"/>
      <c r="P10" s="49"/>
      <c r="Q10" s="49"/>
      <c r="R10" s="19"/>
      <c r="S10" s="51"/>
      <c r="T10" s="54"/>
    </row>
    <row r="11" spans="1:20" s="9" customFormat="1" x14ac:dyDescent="0.3">
      <c r="A11" s="686"/>
      <c r="B11" s="60"/>
      <c r="C11" s="65"/>
      <c r="D11" s="44"/>
      <c r="E11" s="44"/>
      <c r="F11" s="44"/>
      <c r="G11" s="44"/>
      <c r="H11" s="44"/>
      <c r="I11" s="45"/>
      <c r="J11" s="44"/>
      <c r="K11" s="44"/>
      <c r="L11" s="45"/>
      <c r="M11" s="44"/>
      <c r="N11" s="44"/>
      <c r="O11" s="45"/>
      <c r="P11" s="44"/>
      <c r="Q11" s="44"/>
      <c r="R11" s="45"/>
      <c r="S11" s="46"/>
      <c r="T11" s="55"/>
    </row>
  </sheetData>
  <mergeCells count="14">
    <mergeCell ref="P5:P6"/>
    <mergeCell ref="R5:R6"/>
    <mergeCell ref="S5:S6"/>
    <mergeCell ref="T5:T6"/>
    <mergeCell ref="B5:C5"/>
    <mergeCell ref="I5:I6"/>
    <mergeCell ref="J5:J6"/>
    <mergeCell ref="K5:K6"/>
    <mergeCell ref="L5:L6"/>
    <mergeCell ref="M5:M6"/>
    <mergeCell ref="N5:N6"/>
    <mergeCell ref="O5:O6"/>
    <mergeCell ref="Q5:Q6"/>
    <mergeCell ref="D5:H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C608-F6BF-4CFD-9821-B9E45CDA5B05}">
  <dimension ref="A2:AB55"/>
  <sheetViews>
    <sheetView zoomScale="90" zoomScaleNormal="90" workbookViewId="0">
      <pane ySplit="4" topLeftCell="A14" activePane="bottomLeft" state="frozen"/>
      <selection pane="bottomLeft" activeCell="K29" sqref="K29"/>
    </sheetView>
  </sheetViews>
  <sheetFormatPr baseColWidth="10" defaultColWidth="11.44140625" defaultRowHeight="14.4" x14ac:dyDescent="0.3"/>
  <cols>
    <col min="1" max="1" width="4.77734375" style="479" bestFit="1" customWidth="1"/>
    <col min="2" max="2" width="33.88671875" style="1" customWidth="1"/>
    <col min="3" max="3" width="26.6640625" style="1" bestFit="1" customWidth="1"/>
    <col min="4" max="4" width="1.88671875" style="1" hidden="1" customWidth="1"/>
    <col min="5" max="5" width="10.5546875" style="408" hidden="1" customWidth="1"/>
    <col min="6" max="6" width="1.88671875" style="1" customWidth="1"/>
    <col min="7" max="11" width="6" style="1" customWidth="1"/>
    <col min="12" max="12" width="1.88671875" style="1" customWidth="1"/>
    <col min="13" max="13" width="11" style="1" bestFit="1" customWidth="1"/>
    <col min="14" max="14" width="1.88671875" style="1" customWidth="1"/>
    <col min="15" max="16" width="11.33203125" style="1" customWidth="1"/>
    <col min="17" max="17" width="1.88671875" style="1" customWidth="1"/>
    <col min="18" max="18" width="15.44140625" style="1" bestFit="1" customWidth="1"/>
    <col min="19" max="19" width="15" style="1" bestFit="1" customWidth="1"/>
    <col min="20" max="20" width="17.88671875" style="1" customWidth="1"/>
    <col min="21" max="21" width="1.88671875" style="1" customWidth="1"/>
    <col min="22" max="22" width="12.33203125" style="1" bestFit="1" customWidth="1"/>
    <col min="23" max="23" width="12.33203125" style="158" customWidth="1"/>
    <col min="24" max="24" width="13.88671875" style="1" customWidth="1"/>
    <col min="25" max="25" width="1.88671875" style="1" customWidth="1"/>
    <col min="26" max="26" width="12.33203125" style="1" bestFit="1" customWidth="1"/>
    <col min="27" max="27" width="44.109375" style="1" customWidth="1"/>
    <col min="28" max="16384" width="11.44140625" style="1"/>
  </cols>
  <sheetData>
    <row r="2" spans="1:27" x14ac:dyDescent="0.3">
      <c r="B2" s="1" t="s">
        <v>29</v>
      </c>
    </row>
    <row r="3" spans="1:27" x14ac:dyDescent="0.3">
      <c r="B3" s="1" t="s">
        <v>361</v>
      </c>
    </row>
    <row r="4" spans="1:27" ht="28.8" x14ac:dyDescent="0.3">
      <c r="B4" s="14" t="s">
        <v>23</v>
      </c>
      <c r="C4" s="15"/>
      <c r="D4" s="136"/>
      <c r="E4" s="409" t="s">
        <v>330</v>
      </c>
      <c r="F4" s="136"/>
      <c r="G4" s="16">
        <v>2025</v>
      </c>
      <c r="H4" s="16">
        <v>2024</v>
      </c>
      <c r="I4" s="16">
        <v>2023</v>
      </c>
      <c r="J4" s="16">
        <v>2022</v>
      </c>
      <c r="K4" s="142">
        <v>2021</v>
      </c>
      <c r="L4" s="136"/>
      <c r="M4" s="147" t="s">
        <v>3</v>
      </c>
      <c r="N4" s="136"/>
      <c r="O4" s="204" t="s">
        <v>446</v>
      </c>
      <c r="P4" s="204" t="s">
        <v>481</v>
      </c>
      <c r="Q4" s="136"/>
      <c r="R4" s="126" t="s">
        <v>149</v>
      </c>
      <c r="S4" s="126" t="s">
        <v>430</v>
      </c>
      <c r="T4" s="126" t="s">
        <v>150</v>
      </c>
      <c r="U4" s="136"/>
      <c r="V4" s="226" t="s">
        <v>244</v>
      </c>
      <c r="W4" s="517" t="s">
        <v>431</v>
      </c>
      <c r="X4" s="226" t="s">
        <v>245</v>
      </c>
      <c r="Y4" s="136"/>
      <c r="Z4" s="226" t="s">
        <v>404</v>
      </c>
      <c r="AA4" s="226" t="s">
        <v>405</v>
      </c>
    </row>
    <row r="5" spans="1:27" s="9" customFormat="1" x14ac:dyDescent="0.3">
      <c r="A5" s="825">
        <v>19.02</v>
      </c>
      <c r="B5" s="5" t="s">
        <v>4</v>
      </c>
      <c r="C5" s="12" t="s">
        <v>5</v>
      </c>
      <c r="D5" s="137"/>
      <c r="E5" s="410"/>
      <c r="F5" s="137"/>
      <c r="G5" s="6">
        <v>7</v>
      </c>
      <c r="H5" s="6">
        <v>118</v>
      </c>
      <c r="I5" s="6">
        <v>64</v>
      </c>
      <c r="J5" s="6">
        <v>15</v>
      </c>
      <c r="K5" s="143">
        <v>181</v>
      </c>
      <c r="L5" s="137"/>
      <c r="M5" s="148">
        <v>101</v>
      </c>
      <c r="N5" s="137"/>
      <c r="O5" s="832"/>
      <c r="P5" s="832"/>
      <c r="Q5" s="137"/>
      <c r="R5" s="832"/>
      <c r="S5" s="486"/>
      <c r="T5" s="832"/>
      <c r="U5" s="137"/>
      <c r="V5" s="786"/>
      <c r="W5" s="518"/>
      <c r="X5" s="786"/>
      <c r="Y5" s="137"/>
      <c r="Z5" s="782"/>
      <c r="AA5" s="782"/>
    </row>
    <row r="6" spans="1:27" s="9" customFormat="1" x14ac:dyDescent="0.3">
      <c r="A6" s="825"/>
      <c r="B6" s="640" t="s">
        <v>21</v>
      </c>
      <c r="C6" s="641" t="s">
        <v>22</v>
      </c>
      <c r="D6" s="138"/>
      <c r="E6" s="411"/>
      <c r="F6" s="138"/>
      <c r="G6" s="19"/>
      <c r="H6" s="19">
        <v>0</v>
      </c>
      <c r="I6" s="19">
        <v>0</v>
      </c>
      <c r="J6" s="19">
        <v>244</v>
      </c>
      <c r="K6" s="642">
        <v>0</v>
      </c>
      <c r="L6" s="138"/>
      <c r="M6" s="643">
        <v>0</v>
      </c>
      <c r="N6" s="138"/>
      <c r="O6" s="833"/>
      <c r="P6" s="833"/>
      <c r="Q6" s="138"/>
      <c r="R6" s="833"/>
      <c r="S6" s="487"/>
      <c r="T6" s="833"/>
      <c r="U6" s="138"/>
      <c r="V6" s="787"/>
      <c r="W6" s="519"/>
      <c r="X6" s="787"/>
      <c r="Y6" s="138"/>
      <c r="Z6" s="783"/>
      <c r="AA6" s="783"/>
    </row>
    <row r="7" spans="1:27" s="100" customFormat="1" x14ac:dyDescent="0.3">
      <c r="A7" s="825"/>
      <c r="B7" s="132" t="s">
        <v>99</v>
      </c>
      <c r="C7" s="133"/>
      <c r="D7" s="139"/>
      <c r="E7" s="412"/>
      <c r="F7" s="139"/>
      <c r="G7" s="134">
        <f>SUM(G5:G6)</f>
        <v>7</v>
      </c>
      <c r="H7" s="134">
        <f>SUM(H5:H6)</f>
        <v>118</v>
      </c>
      <c r="I7" s="134">
        <f t="shared" ref="I7:M7" si="0">SUM(I5:I6)</f>
        <v>64</v>
      </c>
      <c r="J7" s="134">
        <f t="shared" si="0"/>
        <v>259</v>
      </c>
      <c r="K7" s="144">
        <f t="shared" si="0"/>
        <v>181</v>
      </c>
      <c r="L7" s="139"/>
      <c r="M7" s="149">
        <f t="shared" si="0"/>
        <v>101</v>
      </c>
      <c r="N7" s="139"/>
      <c r="O7" s="287">
        <f>SUM(H7:J7)/3</f>
        <v>147</v>
      </c>
      <c r="P7" s="288">
        <f>SUM(G7:J7)/37.5</f>
        <v>11.946666666666667</v>
      </c>
      <c r="Q7" s="139"/>
      <c r="R7" s="135">
        <f>P7*6</f>
        <v>71.680000000000007</v>
      </c>
      <c r="S7" s="135">
        <f>P7*8</f>
        <v>95.573333333333338</v>
      </c>
      <c r="T7" s="135">
        <f>P7*12</f>
        <v>143.36000000000001</v>
      </c>
      <c r="U7" s="139"/>
      <c r="V7" s="639">
        <f>R7-(M7)</f>
        <v>-29.319999999999993</v>
      </c>
      <c r="W7" s="537">
        <f>S7-(M7)</f>
        <v>-5.4266666666666623</v>
      </c>
      <c r="X7" s="290">
        <f>T7-(M7)</f>
        <v>42.360000000000014</v>
      </c>
      <c r="Y7" s="139"/>
      <c r="Z7" s="225"/>
      <c r="AA7" s="225"/>
    </row>
    <row r="8" spans="1:27" s="9" customFormat="1" x14ac:dyDescent="0.3">
      <c r="A8" s="480"/>
      <c r="B8" s="240"/>
      <c r="C8" s="241"/>
      <c r="D8" s="151"/>
      <c r="E8" s="414"/>
      <c r="F8" s="151"/>
      <c r="G8" s="241"/>
      <c r="H8" s="241"/>
      <c r="I8" s="241"/>
      <c r="J8" s="241"/>
      <c r="K8" s="241"/>
      <c r="L8" s="151"/>
      <c r="M8" s="241"/>
      <c r="N8" s="151"/>
      <c r="O8" s="241"/>
      <c r="P8" s="241"/>
      <c r="Q8" s="151"/>
      <c r="R8" s="241"/>
      <c r="S8" s="241"/>
      <c r="T8" s="241"/>
      <c r="U8" s="151"/>
      <c r="V8" s="790"/>
      <c r="W8" s="791"/>
      <c r="X8" s="792"/>
      <c r="Y8" s="151"/>
      <c r="Z8" s="242"/>
      <c r="AA8" s="242"/>
    </row>
    <row r="9" spans="1:27" x14ac:dyDescent="0.3">
      <c r="A9" s="654"/>
      <c r="B9" s="130" t="s">
        <v>243</v>
      </c>
      <c r="C9" s="131" t="s">
        <v>440</v>
      </c>
      <c r="D9" s="141"/>
      <c r="E9" s="415"/>
      <c r="F9" s="141"/>
      <c r="G9" s="129">
        <v>0</v>
      </c>
      <c r="H9" s="129">
        <v>0</v>
      </c>
      <c r="I9" s="129">
        <v>0</v>
      </c>
      <c r="J9" s="129">
        <v>0</v>
      </c>
      <c r="K9" s="146">
        <v>0</v>
      </c>
      <c r="L9" s="141"/>
      <c r="M9" s="131">
        <v>320</v>
      </c>
      <c r="N9" s="514"/>
      <c r="O9" s="646"/>
      <c r="P9" s="604"/>
      <c r="Q9" s="647"/>
      <c r="R9" s="604"/>
      <c r="S9" s="604"/>
      <c r="T9" s="604"/>
      <c r="U9" s="647"/>
      <c r="V9" s="648"/>
      <c r="W9" s="649"/>
      <c r="X9" s="304"/>
      <c r="Y9" s="647"/>
      <c r="Z9" s="605"/>
      <c r="AA9" s="605"/>
    </row>
    <row r="10" spans="1:27" x14ac:dyDescent="0.3">
      <c r="A10" s="825">
        <v>19.02</v>
      </c>
      <c r="B10" s="511" t="s">
        <v>243</v>
      </c>
      <c r="C10" s="401" t="s">
        <v>441</v>
      </c>
      <c r="D10" s="402"/>
      <c r="E10" s="423"/>
      <c r="F10" s="402"/>
      <c r="G10" s="512">
        <v>98</v>
      </c>
      <c r="H10" s="512">
        <f>14+293</f>
        <v>307</v>
      </c>
      <c r="I10" s="512">
        <v>485</v>
      </c>
      <c r="J10" s="512">
        <v>0</v>
      </c>
      <c r="K10" s="513">
        <v>0</v>
      </c>
      <c r="L10" s="402"/>
      <c r="M10" s="401">
        <v>38</v>
      </c>
      <c r="N10" s="754"/>
      <c r="O10" s="764"/>
      <c r="P10" s="765"/>
      <c r="Q10" s="754"/>
      <c r="R10" s="837"/>
      <c r="S10" s="838"/>
      <c r="T10" s="839"/>
      <c r="U10" s="754"/>
      <c r="V10" s="793"/>
      <c r="W10" s="644"/>
      <c r="X10" s="788"/>
      <c r="Y10" s="754"/>
      <c r="Z10" s="784"/>
      <c r="AA10" s="820" t="s">
        <v>429</v>
      </c>
    </row>
    <row r="11" spans="1:27" x14ac:dyDescent="0.3">
      <c r="A11" s="825"/>
      <c r="B11" s="650" t="s">
        <v>156</v>
      </c>
      <c r="C11" s="651" t="s">
        <v>401</v>
      </c>
      <c r="D11" s="140"/>
      <c r="E11" s="407"/>
      <c r="F11" s="140"/>
      <c r="G11" s="652"/>
      <c r="H11" s="652">
        <v>0</v>
      </c>
      <c r="I11" s="652">
        <v>36</v>
      </c>
      <c r="J11" s="652">
        <v>560</v>
      </c>
      <c r="K11" s="653">
        <v>446</v>
      </c>
      <c r="L11" s="140"/>
      <c r="M11" s="651">
        <v>0</v>
      </c>
      <c r="N11" s="755"/>
      <c r="O11" s="766"/>
      <c r="P11" s="767"/>
      <c r="Q11" s="755"/>
      <c r="R11" s="840"/>
      <c r="S11" s="841"/>
      <c r="T11" s="842"/>
      <c r="U11" s="755"/>
      <c r="V11" s="794"/>
      <c r="W11" s="645"/>
      <c r="X11" s="789"/>
      <c r="Y11" s="755"/>
      <c r="Z11" s="785"/>
      <c r="AA11" s="821"/>
    </row>
    <row r="12" spans="1:27" s="100" customFormat="1" x14ac:dyDescent="0.3">
      <c r="A12" s="825"/>
      <c r="B12" s="132" t="s">
        <v>99</v>
      </c>
      <c r="C12" s="133"/>
      <c r="D12" s="139"/>
      <c r="E12" s="412"/>
      <c r="F12" s="139"/>
      <c r="G12" s="134">
        <f>SUM(G9:G11)</f>
        <v>98</v>
      </c>
      <c r="H12" s="134">
        <f>SUM(H9:H11)</f>
        <v>307</v>
      </c>
      <c r="I12" s="134">
        <f>SUM(I9:I11)</f>
        <v>521</v>
      </c>
      <c r="J12" s="134">
        <f>SUM(J9:J11)</f>
        <v>560</v>
      </c>
      <c r="K12" s="144">
        <f>SUM(K9:K11)</f>
        <v>446</v>
      </c>
      <c r="L12" s="139"/>
      <c r="M12" s="149">
        <f>SUM(M9:M11)</f>
        <v>358</v>
      </c>
      <c r="N12" s="139"/>
      <c r="O12" s="287">
        <f>SUM(H12:J12)/3</f>
        <v>462.66666666666669</v>
      </c>
      <c r="P12" s="288">
        <f>SUM(G12:J12)/37.5</f>
        <v>39.626666666666665</v>
      </c>
      <c r="Q12" s="139"/>
      <c r="R12" s="135">
        <f>P12*6</f>
        <v>237.76</v>
      </c>
      <c r="S12" s="135">
        <f>P12*8</f>
        <v>317.01333333333332</v>
      </c>
      <c r="T12" s="135">
        <f>P12*12</f>
        <v>475.52</v>
      </c>
      <c r="U12" s="139"/>
      <c r="V12" s="639">
        <f>R12-(M12)</f>
        <v>-120.24000000000001</v>
      </c>
      <c r="W12" s="537">
        <f>S12-(M12)</f>
        <v>-40.986666666666679</v>
      </c>
      <c r="X12" s="290">
        <f>T12-(M12)</f>
        <v>117.51999999999998</v>
      </c>
      <c r="Y12" s="139"/>
      <c r="Z12" s="225"/>
      <c r="AA12" s="225" t="s">
        <v>433</v>
      </c>
    </row>
    <row r="13" spans="1:27" s="9" customFormat="1" x14ac:dyDescent="0.3">
      <c r="A13" s="480"/>
      <c r="B13" s="229"/>
      <c r="C13" s="230"/>
      <c r="D13" s="230"/>
      <c r="E13" s="416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92"/>
      <c r="W13" s="523"/>
      <c r="X13" s="293"/>
      <c r="Y13" s="230"/>
      <c r="Z13" s="231"/>
      <c r="AA13" s="231"/>
    </row>
    <row r="14" spans="1:27" x14ac:dyDescent="0.3">
      <c r="A14" s="825">
        <v>25.02</v>
      </c>
      <c r="B14" s="634" t="s">
        <v>155</v>
      </c>
      <c r="C14" s="635" t="s">
        <v>24</v>
      </c>
      <c r="D14" s="750"/>
      <c r="E14" s="417"/>
      <c r="F14" s="609"/>
      <c r="G14" s="636"/>
      <c r="H14" s="636">
        <v>0</v>
      </c>
      <c r="I14" s="636">
        <v>84</v>
      </c>
      <c r="J14" s="636">
        <v>1831</v>
      </c>
      <c r="K14" s="637">
        <v>1541</v>
      </c>
      <c r="L14" s="609"/>
      <c r="M14" s="635"/>
      <c r="N14" s="277"/>
      <c r="O14" s="616"/>
      <c r="P14" s="616"/>
      <c r="Q14" s="609"/>
      <c r="R14" s="619"/>
      <c r="S14" s="488"/>
      <c r="T14" s="619"/>
      <c r="U14" s="609"/>
      <c r="V14" s="622"/>
      <c r="W14" s="524"/>
      <c r="X14" s="626"/>
      <c r="Y14" s="612"/>
      <c r="Z14" s="627"/>
      <c r="AA14" s="802" t="s">
        <v>397</v>
      </c>
    </row>
    <row r="15" spans="1:27" x14ac:dyDescent="0.3">
      <c r="A15" s="825"/>
      <c r="B15" s="207" t="s">
        <v>246</v>
      </c>
      <c r="C15" s="278" t="s">
        <v>480</v>
      </c>
      <c r="D15" s="751"/>
      <c r="E15" s="418"/>
      <c r="F15" s="610"/>
      <c r="G15" s="208">
        <f>24+107</f>
        <v>131</v>
      </c>
      <c r="H15" s="208">
        <v>1836</v>
      </c>
      <c r="I15" s="208">
        <v>917</v>
      </c>
      <c r="J15" s="208">
        <v>276</v>
      </c>
      <c r="K15" s="279">
        <v>0</v>
      </c>
      <c r="L15" s="610"/>
      <c r="M15" s="278">
        <v>745</v>
      </c>
      <c r="N15" s="280"/>
      <c r="O15" s="617"/>
      <c r="P15" s="617"/>
      <c r="Q15" s="610"/>
      <c r="R15" s="620"/>
      <c r="S15" s="490"/>
      <c r="T15" s="620"/>
      <c r="U15" s="610"/>
      <c r="V15" s="623"/>
      <c r="W15" s="525"/>
      <c r="X15" s="623"/>
      <c r="Y15" s="613"/>
      <c r="Z15" s="628"/>
      <c r="AA15" s="760"/>
    </row>
    <row r="16" spans="1:27" x14ac:dyDescent="0.3">
      <c r="A16" s="825"/>
      <c r="B16" s="630" t="s">
        <v>154</v>
      </c>
      <c r="C16" s="631" t="s">
        <v>9</v>
      </c>
      <c r="D16" s="751"/>
      <c r="E16" s="418"/>
      <c r="F16" s="610"/>
      <c r="G16" s="632"/>
      <c r="H16" s="632">
        <v>0</v>
      </c>
      <c r="I16" s="632">
        <v>2</v>
      </c>
      <c r="J16" s="632"/>
      <c r="K16" s="633">
        <v>0</v>
      </c>
      <c r="L16" s="610"/>
      <c r="M16" s="631"/>
      <c r="N16" s="280"/>
      <c r="O16" s="617"/>
      <c r="P16" s="617"/>
      <c r="Q16" s="610"/>
      <c r="R16" s="620"/>
      <c r="S16" s="490"/>
      <c r="T16" s="620"/>
      <c r="U16" s="610"/>
      <c r="V16" s="623"/>
      <c r="W16" s="625"/>
      <c r="X16" s="623"/>
      <c r="Y16" s="613"/>
      <c r="Z16" s="628"/>
      <c r="AA16" s="760"/>
    </row>
    <row r="17" spans="1:27" x14ac:dyDescent="0.3">
      <c r="A17" s="825"/>
      <c r="B17" s="630" t="s">
        <v>151</v>
      </c>
      <c r="C17" s="631" t="s">
        <v>267</v>
      </c>
      <c r="D17" s="752"/>
      <c r="E17" s="418"/>
      <c r="F17" s="610"/>
      <c r="G17" s="632"/>
      <c r="H17" s="632">
        <v>0</v>
      </c>
      <c r="I17" s="632">
        <v>74</v>
      </c>
      <c r="J17" s="632">
        <v>146</v>
      </c>
      <c r="K17" s="633">
        <v>0</v>
      </c>
      <c r="L17" s="611"/>
      <c r="M17" s="631"/>
      <c r="N17" s="280"/>
      <c r="O17" s="618"/>
      <c r="P17" s="618"/>
      <c r="Q17" s="611"/>
      <c r="R17" s="621"/>
      <c r="S17" s="491"/>
      <c r="T17" s="621"/>
      <c r="U17" s="611"/>
      <c r="V17" s="624"/>
      <c r="W17" s="526"/>
      <c r="X17" s="624"/>
      <c r="Y17" s="614"/>
      <c r="Z17" s="629"/>
      <c r="AA17" s="761"/>
    </row>
    <row r="18" spans="1:27" s="100" customFormat="1" x14ac:dyDescent="0.3">
      <c r="A18" s="825"/>
      <c r="B18" s="281" t="s">
        <v>99</v>
      </c>
      <c r="C18" s="282"/>
      <c r="D18" s="285"/>
      <c r="E18" s="419"/>
      <c r="F18" s="615"/>
      <c r="G18" s="283">
        <f>SUM(G14:G17)</f>
        <v>131</v>
      </c>
      <c r="H18" s="283">
        <f>SUM(H14:H17)</f>
        <v>1836</v>
      </c>
      <c r="I18" s="283">
        <f>SUM(I14:I17)</f>
        <v>1077</v>
      </c>
      <c r="J18" s="283">
        <f>SUM(J14:J17)</f>
        <v>2253</v>
      </c>
      <c r="K18" s="284">
        <f>SUM(K14:K17)</f>
        <v>1541</v>
      </c>
      <c r="L18" s="285"/>
      <c r="M18" s="286">
        <f>SUM(M14:M17)</f>
        <v>745</v>
      </c>
      <c r="N18" s="285"/>
      <c r="O18" s="287">
        <f>SUM(H18:J18)/3</f>
        <v>1722</v>
      </c>
      <c r="P18" s="288">
        <f>SUM(G18:J18)/37.5</f>
        <v>141.25333333333333</v>
      </c>
      <c r="Q18" s="285"/>
      <c r="R18" s="135">
        <f>P18*6</f>
        <v>847.52</v>
      </c>
      <c r="S18" s="135">
        <f>P18*8</f>
        <v>1130.0266666666666</v>
      </c>
      <c r="T18" s="135">
        <f>P18*12</f>
        <v>1695.04</v>
      </c>
      <c r="U18" s="285"/>
      <c r="V18" s="638">
        <f>R18-(M18)</f>
        <v>102.51999999999998</v>
      </c>
      <c r="W18" s="537">
        <f>S18-(M18)</f>
        <v>385.02666666666664</v>
      </c>
      <c r="X18" s="290">
        <f>T18-(M18)</f>
        <v>950.04</v>
      </c>
      <c r="Y18" s="139"/>
      <c r="Z18" s="225"/>
      <c r="AA18" s="225"/>
    </row>
    <row r="19" spans="1:27" s="9" customFormat="1" x14ac:dyDescent="0.3">
      <c r="A19" s="480"/>
      <c r="B19" s="291"/>
      <c r="C19" s="292"/>
      <c r="D19" s="292"/>
      <c r="E19" s="420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523"/>
      <c r="X19" s="293"/>
      <c r="Y19" s="230"/>
      <c r="Z19" s="231"/>
      <c r="AA19" s="231"/>
    </row>
    <row r="20" spans="1:27" x14ac:dyDescent="0.3">
      <c r="A20" s="825">
        <v>19.02</v>
      </c>
      <c r="B20" s="273" t="s">
        <v>147</v>
      </c>
      <c r="C20" s="275" t="s">
        <v>485</v>
      </c>
      <c r="D20" s="750"/>
      <c r="E20" s="483">
        <v>12.6</v>
      </c>
      <c r="F20" s="750"/>
      <c r="G20" s="275">
        <v>0</v>
      </c>
      <c r="H20" s="275">
        <v>40</v>
      </c>
      <c r="I20" s="275">
        <v>0</v>
      </c>
      <c r="J20" s="275">
        <v>0</v>
      </c>
      <c r="K20" s="275">
        <v>0</v>
      </c>
      <c r="L20" s="750"/>
      <c r="M20" s="275">
        <v>0</v>
      </c>
      <c r="N20" s="750"/>
      <c r="O20" s="771"/>
      <c r="P20" s="771"/>
      <c r="Q20" s="750"/>
      <c r="R20" s="795"/>
      <c r="S20" s="488"/>
      <c r="T20" s="795"/>
      <c r="U20" s="750"/>
      <c r="V20" s="778"/>
      <c r="W20" s="527"/>
      <c r="X20" s="778"/>
      <c r="Y20" s="756"/>
      <c r="Z20" s="759"/>
      <c r="AA20" s="822" t="s">
        <v>406</v>
      </c>
    </row>
    <row r="21" spans="1:27" x14ac:dyDescent="0.3">
      <c r="A21" s="825"/>
      <c r="B21" s="467" t="s">
        <v>157</v>
      </c>
      <c r="C21" s="468" t="s">
        <v>483</v>
      </c>
      <c r="D21" s="751"/>
      <c r="E21" s="469">
        <v>12.5</v>
      </c>
      <c r="F21" s="751"/>
      <c r="G21" s="468">
        <v>0</v>
      </c>
      <c r="H21" s="468">
        <v>72</v>
      </c>
      <c r="I21" s="468">
        <v>100</v>
      </c>
      <c r="J21" s="468">
        <v>0</v>
      </c>
      <c r="K21" s="470">
        <v>0</v>
      </c>
      <c r="L21" s="751"/>
      <c r="M21" s="471">
        <v>200</v>
      </c>
      <c r="N21" s="751"/>
      <c r="O21" s="772"/>
      <c r="P21" s="772"/>
      <c r="Q21" s="751"/>
      <c r="R21" s="797"/>
      <c r="S21" s="490"/>
      <c r="T21" s="797"/>
      <c r="U21" s="751"/>
      <c r="V21" s="779"/>
      <c r="W21" s="525"/>
      <c r="X21" s="779"/>
      <c r="Y21" s="757"/>
      <c r="Z21" s="760"/>
      <c r="AA21" s="823"/>
    </row>
    <row r="22" spans="1:27" x14ac:dyDescent="0.3">
      <c r="A22" s="825"/>
      <c r="B22" s="655" t="s">
        <v>152</v>
      </c>
      <c r="C22" s="632" t="s">
        <v>484</v>
      </c>
      <c r="D22" s="751"/>
      <c r="E22" s="418"/>
      <c r="F22" s="751"/>
      <c r="G22" s="632"/>
      <c r="H22" s="632">
        <v>115</v>
      </c>
      <c r="I22" s="632">
        <v>42</v>
      </c>
      <c r="J22" s="632">
        <v>69</v>
      </c>
      <c r="K22" s="633">
        <v>0</v>
      </c>
      <c r="L22" s="751"/>
      <c r="M22" s="631">
        <v>0</v>
      </c>
      <c r="N22" s="751"/>
      <c r="O22" s="772"/>
      <c r="P22" s="772"/>
      <c r="Q22" s="751"/>
      <c r="R22" s="797"/>
      <c r="S22" s="490"/>
      <c r="T22" s="797"/>
      <c r="U22" s="751"/>
      <c r="V22" s="779"/>
      <c r="W22" s="525"/>
      <c r="X22" s="779"/>
      <c r="Y22" s="757"/>
      <c r="Z22" s="760"/>
      <c r="AA22" s="823"/>
    </row>
    <row r="23" spans="1:27" x14ac:dyDescent="0.3">
      <c r="A23" s="825"/>
      <c r="B23" s="655" t="s">
        <v>153</v>
      </c>
      <c r="C23" s="632" t="s">
        <v>158</v>
      </c>
      <c r="D23" s="751"/>
      <c r="E23" s="418"/>
      <c r="F23" s="751"/>
      <c r="G23" s="632"/>
      <c r="H23" s="632">
        <v>0</v>
      </c>
      <c r="I23" s="632">
        <v>0</v>
      </c>
      <c r="J23" s="632">
        <v>54</v>
      </c>
      <c r="K23" s="633">
        <v>171</v>
      </c>
      <c r="L23" s="751"/>
      <c r="M23" s="631">
        <v>0</v>
      </c>
      <c r="N23" s="751"/>
      <c r="O23" s="772"/>
      <c r="P23" s="772"/>
      <c r="Q23" s="751"/>
      <c r="R23" s="797"/>
      <c r="S23" s="490"/>
      <c r="T23" s="797"/>
      <c r="U23" s="751"/>
      <c r="V23" s="779"/>
      <c r="W23" s="525"/>
      <c r="X23" s="779"/>
      <c r="Y23" s="757"/>
      <c r="Z23" s="760"/>
      <c r="AA23" s="823"/>
    </row>
    <row r="24" spans="1:27" x14ac:dyDescent="0.3">
      <c r="A24" s="825"/>
      <c r="B24" s="655" t="s">
        <v>30</v>
      </c>
      <c r="C24" s="632" t="s">
        <v>28</v>
      </c>
      <c r="D24" s="752"/>
      <c r="E24" s="418"/>
      <c r="F24" s="752"/>
      <c r="G24" s="632"/>
      <c r="H24" s="632">
        <v>0</v>
      </c>
      <c r="I24" s="632">
        <v>0</v>
      </c>
      <c r="J24" s="632">
        <v>0</v>
      </c>
      <c r="K24" s="633">
        <v>88</v>
      </c>
      <c r="L24" s="752"/>
      <c r="M24" s="631">
        <v>0</v>
      </c>
      <c r="N24" s="752"/>
      <c r="O24" s="773"/>
      <c r="P24" s="773"/>
      <c r="Q24" s="752"/>
      <c r="R24" s="798"/>
      <c r="S24" s="491"/>
      <c r="T24" s="798"/>
      <c r="U24" s="752"/>
      <c r="V24" s="780"/>
      <c r="W24" s="526"/>
      <c r="X24" s="780"/>
      <c r="Y24" s="758"/>
      <c r="Z24" s="761"/>
      <c r="AA24" s="824"/>
    </row>
    <row r="25" spans="1:27" s="100" customFormat="1" x14ac:dyDescent="0.3">
      <c r="A25" s="825"/>
      <c r="B25" s="281" t="s">
        <v>99</v>
      </c>
      <c r="C25" s="282"/>
      <c r="D25" s="285"/>
      <c r="E25" s="419"/>
      <c r="F25" s="285"/>
      <c r="G25" s="283">
        <f>SUM(G20:G24)</f>
        <v>0</v>
      </c>
      <c r="H25" s="283">
        <f>SUM(H20:H24)</f>
        <v>227</v>
      </c>
      <c r="I25" s="283">
        <f>SUM(I20:I24)</f>
        <v>142</v>
      </c>
      <c r="J25" s="283">
        <f>SUM(J20:J24)</f>
        <v>123</v>
      </c>
      <c r="K25" s="284">
        <f>SUM(K20:K24)</f>
        <v>259</v>
      </c>
      <c r="L25" s="285"/>
      <c r="M25" s="286">
        <f>SUM(M20:M24)</f>
        <v>200</v>
      </c>
      <c r="N25" s="285"/>
      <c r="O25" s="287">
        <f>SUM(H25:J25)/3</f>
        <v>164</v>
      </c>
      <c r="P25" s="288">
        <f>SUM(G25:J25)/36.5</f>
        <v>13.479452054794521</v>
      </c>
      <c r="Q25" s="285"/>
      <c r="R25" s="289">
        <f>P25*6</f>
        <v>80.876712328767127</v>
      </c>
      <c r="S25" s="289">
        <f>P25*8</f>
        <v>107.83561643835617</v>
      </c>
      <c r="T25" s="135">
        <f>P25*12</f>
        <v>161.75342465753425</v>
      </c>
      <c r="U25" s="285"/>
      <c r="V25" s="639">
        <f>R25-(M25)</f>
        <v>-119.12328767123287</v>
      </c>
      <c r="W25" s="537">
        <f>S25-(M25)</f>
        <v>-92.164383561643831</v>
      </c>
      <c r="X25" s="290">
        <f>T25-(M25)</f>
        <v>-38.246575342465746</v>
      </c>
      <c r="Y25" s="139"/>
      <c r="Z25" s="225"/>
      <c r="AA25" s="225" t="s">
        <v>409</v>
      </c>
    </row>
    <row r="26" spans="1:27" s="9" customFormat="1" x14ac:dyDescent="0.3">
      <c r="A26" s="480"/>
      <c r="B26" s="291"/>
      <c r="C26" s="292"/>
      <c r="D26" s="292"/>
      <c r="E26" s="420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523"/>
      <c r="X26" s="293"/>
      <c r="Y26" s="230"/>
      <c r="Z26" s="231"/>
      <c r="AA26" s="231"/>
    </row>
    <row r="27" spans="1:27" s="100" customFormat="1" x14ac:dyDescent="0.3">
      <c r="A27" s="481">
        <v>25.02</v>
      </c>
      <c r="B27" s="296" t="s">
        <v>11</v>
      </c>
      <c r="C27" s="297" t="s">
        <v>10</v>
      </c>
      <c r="D27" s="300"/>
      <c r="E27" s="421"/>
      <c r="F27" s="300"/>
      <c r="G27" s="298">
        <f>18+20+150</f>
        <v>188</v>
      </c>
      <c r="H27" s="298">
        <v>942</v>
      </c>
      <c r="I27" s="298">
        <v>710</v>
      </c>
      <c r="J27" s="298">
        <v>1191</v>
      </c>
      <c r="K27" s="299">
        <v>1342</v>
      </c>
      <c r="L27" s="300"/>
      <c r="M27" s="301">
        <v>496</v>
      </c>
      <c r="N27" s="300"/>
      <c r="O27" s="287">
        <f>SUM(H27:J27)/3</f>
        <v>947.66666666666663</v>
      </c>
      <c r="P27" s="288">
        <f>SUM(G27:J27)/36.5</f>
        <v>83.041095890410958</v>
      </c>
      <c r="Q27" s="300"/>
      <c r="R27" s="289">
        <f>P27*6</f>
        <v>498.24657534246575</v>
      </c>
      <c r="S27" s="289">
        <f>P27*8</f>
        <v>664.32876712328766</v>
      </c>
      <c r="T27" s="135">
        <f>P27*12</f>
        <v>996.49315068493149</v>
      </c>
      <c r="U27" s="285"/>
      <c r="V27" s="639">
        <f>R27-(M27)</f>
        <v>2.2465753424657464</v>
      </c>
      <c r="W27" s="537">
        <f>S27-(M27)</f>
        <v>168.32876712328766</v>
      </c>
      <c r="X27" s="290">
        <f>T27-(M27)</f>
        <v>500.49315068493149</v>
      </c>
      <c r="Y27" s="227"/>
      <c r="Z27" s="228"/>
      <c r="AA27" s="228" t="s">
        <v>434</v>
      </c>
    </row>
    <row r="28" spans="1:27" s="9" customFormat="1" x14ac:dyDescent="0.3">
      <c r="A28" s="480"/>
      <c r="B28" s="291"/>
      <c r="C28" s="292"/>
      <c r="D28" s="292"/>
      <c r="E28" s="420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523"/>
      <c r="X28" s="293"/>
      <c r="Y28" s="230"/>
      <c r="Z28" s="231"/>
      <c r="AA28" s="231"/>
    </row>
    <row r="29" spans="1:27" x14ac:dyDescent="0.3">
      <c r="A29" s="825">
        <v>19.02</v>
      </c>
      <c r="B29" s="273" t="s">
        <v>12</v>
      </c>
      <c r="C29" s="274" t="s">
        <v>482</v>
      </c>
      <c r="D29" s="750"/>
      <c r="E29" s="417"/>
      <c r="F29" s="750"/>
      <c r="G29" s="275">
        <f>2+17</f>
        <v>19</v>
      </c>
      <c r="H29" s="275">
        <f>5+1+17</f>
        <v>23</v>
      </c>
      <c r="I29" s="275">
        <v>89</v>
      </c>
      <c r="J29" s="275">
        <v>54</v>
      </c>
      <c r="K29" s="276">
        <v>115</v>
      </c>
      <c r="L29" s="750"/>
      <c r="M29" s="274">
        <v>25</v>
      </c>
      <c r="N29" s="750"/>
      <c r="O29" s="774"/>
      <c r="P29" s="774"/>
      <c r="Q29" s="750"/>
      <c r="R29" s="774"/>
      <c r="S29" s="492"/>
      <c r="T29" s="774"/>
      <c r="U29" s="750"/>
      <c r="V29" s="781"/>
      <c r="W29" s="528"/>
      <c r="X29" s="781"/>
      <c r="Y29" s="753"/>
      <c r="Z29" s="777"/>
      <c r="AA29" s="777"/>
    </row>
    <row r="30" spans="1:27" x14ac:dyDescent="0.3">
      <c r="A30" s="825"/>
      <c r="B30" s="207" t="s">
        <v>15</v>
      </c>
      <c r="C30" s="278" t="s">
        <v>14</v>
      </c>
      <c r="D30" s="751"/>
      <c r="E30" s="418"/>
      <c r="F30" s="751"/>
      <c r="G30" s="208"/>
      <c r="H30" s="208">
        <v>0</v>
      </c>
      <c r="I30" s="208">
        <v>8</v>
      </c>
      <c r="J30" s="208">
        <v>15</v>
      </c>
      <c r="K30" s="279">
        <v>-23</v>
      </c>
      <c r="L30" s="751"/>
      <c r="M30" s="278">
        <v>0</v>
      </c>
      <c r="N30" s="751"/>
      <c r="O30" s="775"/>
      <c r="P30" s="775"/>
      <c r="Q30" s="751"/>
      <c r="R30" s="775"/>
      <c r="S30" s="493"/>
      <c r="T30" s="775"/>
      <c r="U30" s="751"/>
      <c r="V30" s="779"/>
      <c r="W30" s="525"/>
      <c r="X30" s="779"/>
      <c r="Y30" s="754"/>
      <c r="Z30" s="760"/>
      <c r="AA30" s="760"/>
    </row>
    <row r="31" spans="1:27" x14ac:dyDescent="0.3">
      <c r="A31" s="825"/>
      <c r="B31" s="207" t="s">
        <v>159</v>
      </c>
      <c r="C31" s="278" t="s">
        <v>13</v>
      </c>
      <c r="D31" s="752"/>
      <c r="E31" s="418"/>
      <c r="F31" s="752"/>
      <c r="G31" s="208"/>
      <c r="H31" s="208">
        <v>19</v>
      </c>
      <c r="I31" s="208">
        <v>31</v>
      </c>
      <c r="J31" s="208">
        <v>0</v>
      </c>
      <c r="K31" s="279">
        <v>17</v>
      </c>
      <c r="L31" s="752"/>
      <c r="M31" s="278">
        <v>0</v>
      </c>
      <c r="N31" s="752"/>
      <c r="O31" s="776"/>
      <c r="P31" s="776"/>
      <c r="Q31" s="752"/>
      <c r="R31" s="776"/>
      <c r="S31" s="494"/>
      <c r="T31" s="776"/>
      <c r="U31" s="752"/>
      <c r="V31" s="780"/>
      <c r="W31" s="526"/>
      <c r="X31" s="780"/>
      <c r="Y31" s="755"/>
      <c r="Z31" s="761"/>
      <c r="AA31" s="761"/>
    </row>
    <row r="32" spans="1:27" s="100" customFormat="1" x14ac:dyDescent="0.3">
      <c r="A32" s="825"/>
      <c r="B32" s="281" t="s">
        <v>99</v>
      </c>
      <c r="C32" s="282"/>
      <c r="D32" s="285"/>
      <c r="E32" s="419"/>
      <c r="F32" s="285"/>
      <c r="G32" s="283">
        <f>SUM(G29:G31)</f>
        <v>19</v>
      </c>
      <c r="H32" s="283">
        <f>SUM(H29:H31)</f>
        <v>42</v>
      </c>
      <c r="I32" s="283">
        <f t="shared" ref="I32:K32" si="1">SUM(I29:I31)</f>
        <v>128</v>
      </c>
      <c r="J32" s="283">
        <f t="shared" si="1"/>
        <v>69</v>
      </c>
      <c r="K32" s="284">
        <f t="shared" si="1"/>
        <v>109</v>
      </c>
      <c r="L32" s="285"/>
      <c r="M32" s="286">
        <f>SUM(M29:M31)</f>
        <v>25</v>
      </c>
      <c r="N32" s="285"/>
      <c r="O32" s="287">
        <f>SUM(H32:J32)/3</f>
        <v>79.666666666666671</v>
      </c>
      <c r="P32" s="288">
        <f>SUM(G32:J32)/37.5</f>
        <v>6.88</v>
      </c>
      <c r="Q32" s="285"/>
      <c r="R32" s="289">
        <f>P32*6</f>
        <v>41.28</v>
      </c>
      <c r="S32" s="289">
        <f>P32*8</f>
        <v>55.04</v>
      </c>
      <c r="T32" s="135">
        <f>P32*12</f>
        <v>82.56</v>
      </c>
      <c r="U32" s="285"/>
      <c r="V32" s="638">
        <f>R32-(M32)</f>
        <v>16.28</v>
      </c>
      <c r="W32" s="537">
        <f>S32-(M32)</f>
        <v>30.04</v>
      </c>
      <c r="X32" s="290">
        <f>T32-(M32)</f>
        <v>57.56</v>
      </c>
      <c r="Y32" s="139"/>
      <c r="Z32" s="232"/>
      <c r="AA32" s="232"/>
    </row>
    <row r="33" spans="1:28" s="9" customFormat="1" x14ac:dyDescent="0.3">
      <c r="A33" s="480"/>
      <c r="B33" s="291"/>
      <c r="C33" s="292"/>
      <c r="D33" s="292"/>
      <c r="E33" s="420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523"/>
      <c r="X33" s="293"/>
      <c r="Y33" s="230"/>
      <c r="Z33" s="231"/>
      <c r="AA33" s="231"/>
    </row>
    <row r="34" spans="1:28" x14ac:dyDescent="0.3">
      <c r="A34" s="825">
        <v>19.02</v>
      </c>
      <c r="B34" s="294" t="s">
        <v>16</v>
      </c>
      <c r="C34" s="275" t="s">
        <v>486</v>
      </c>
      <c r="D34" s="750"/>
      <c r="E34" s="417"/>
      <c r="F34" s="750"/>
      <c r="G34" s="275">
        <v>2</v>
      </c>
      <c r="H34" s="275">
        <v>10</v>
      </c>
      <c r="I34" s="275">
        <v>45</v>
      </c>
      <c r="J34" s="275">
        <v>56</v>
      </c>
      <c r="K34" s="276">
        <v>32</v>
      </c>
      <c r="L34" s="750"/>
      <c r="M34" s="274">
        <v>24</v>
      </c>
      <c r="N34" s="750"/>
      <c r="O34" s="774"/>
      <c r="P34" s="774"/>
      <c r="Q34" s="750"/>
      <c r="R34" s="774"/>
      <c r="S34" s="492"/>
      <c r="T34" s="774"/>
      <c r="U34" s="750"/>
      <c r="V34" s="817"/>
      <c r="W34" s="529"/>
      <c r="X34" s="817"/>
      <c r="Y34" s="753"/>
      <c r="Z34" s="814"/>
      <c r="AA34" s="799" t="s">
        <v>353</v>
      </c>
    </row>
    <row r="35" spans="1:28" x14ac:dyDescent="0.3">
      <c r="A35" s="825"/>
      <c r="B35" s="655" t="s">
        <v>268</v>
      </c>
      <c r="C35" s="632" t="s">
        <v>31</v>
      </c>
      <c r="D35" s="751"/>
      <c r="E35" s="418"/>
      <c r="F35" s="751"/>
      <c r="G35" s="632"/>
      <c r="H35" s="632">
        <f>3+7</f>
        <v>10</v>
      </c>
      <c r="I35" s="632">
        <v>0</v>
      </c>
      <c r="J35" s="632">
        <v>0</v>
      </c>
      <c r="K35" s="633">
        <v>0</v>
      </c>
      <c r="L35" s="751"/>
      <c r="M35" s="631">
        <v>0</v>
      </c>
      <c r="N35" s="751"/>
      <c r="O35" s="775"/>
      <c r="P35" s="775"/>
      <c r="Q35" s="751"/>
      <c r="R35" s="775"/>
      <c r="S35" s="493"/>
      <c r="T35" s="775"/>
      <c r="U35" s="751"/>
      <c r="V35" s="818"/>
      <c r="W35" s="530"/>
      <c r="X35" s="818"/>
      <c r="Y35" s="754"/>
      <c r="Z35" s="815"/>
      <c r="AA35" s="800"/>
    </row>
    <row r="36" spans="1:28" x14ac:dyDescent="0.3">
      <c r="A36" s="825"/>
      <c r="B36" s="295" t="s">
        <v>269</v>
      </c>
      <c r="C36" s="208" t="s">
        <v>32</v>
      </c>
      <c r="D36" s="752"/>
      <c r="E36" s="418"/>
      <c r="F36" s="752"/>
      <c r="G36" s="208">
        <v>0</v>
      </c>
      <c r="H36" s="208">
        <f>5+2</f>
        <v>7</v>
      </c>
      <c r="I36" s="208">
        <v>10</v>
      </c>
      <c r="J36" s="208">
        <v>0</v>
      </c>
      <c r="K36" s="279">
        <v>0</v>
      </c>
      <c r="L36" s="752"/>
      <c r="M36" s="278">
        <v>3</v>
      </c>
      <c r="N36" s="752"/>
      <c r="O36" s="776"/>
      <c r="P36" s="776"/>
      <c r="Q36" s="752"/>
      <c r="R36" s="776"/>
      <c r="S36" s="494"/>
      <c r="T36" s="776"/>
      <c r="U36" s="752"/>
      <c r="V36" s="819"/>
      <c r="W36" s="531"/>
      <c r="X36" s="819"/>
      <c r="Y36" s="755"/>
      <c r="Z36" s="816"/>
      <c r="AA36" s="801"/>
    </row>
    <row r="37" spans="1:28" s="100" customFormat="1" x14ac:dyDescent="0.3">
      <c r="A37" s="825"/>
      <c r="B37" s="281" t="s">
        <v>99</v>
      </c>
      <c r="C37" s="282"/>
      <c r="D37" s="285"/>
      <c r="E37" s="419"/>
      <c r="F37" s="285"/>
      <c r="G37" s="283">
        <f>SUM(G34:G36)</f>
        <v>2</v>
      </c>
      <c r="H37" s="283">
        <f>SUM(H34:H36)</f>
        <v>27</v>
      </c>
      <c r="I37" s="283">
        <f>SUM(I34:I36)</f>
        <v>55</v>
      </c>
      <c r="J37" s="283">
        <f>SUM(J34:J36)</f>
        <v>56</v>
      </c>
      <c r="K37" s="284">
        <f>SUM(K34:K36)</f>
        <v>32</v>
      </c>
      <c r="L37" s="285"/>
      <c r="M37" s="286">
        <f>SUM(M34:M36)</f>
        <v>27</v>
      </c>
      <c r="N37" s="285"/>
      <c r="O37" s="287">
        <f>SUM(H37:J37)/3</f>
        <v>46</v>
      </c>
      <c r="P37" s="288">
        <f>SUM(G37:J37)/37.5</f>
        <v>3.7333333333333334</v>
      </c>
      <c r="Q37" s="285"/>
      <c r="R37" s="289">
        <f>P37*6</f>
        <v>22.4</v>
      </c>
      <c r="S37" s="289">
        <f>P37*8</f>
        <v>29.866666666666667</v>
      </c>
      <c r="T37" s="135">
        <f>P37*12</f>
        <v>44.8</v>
      </c>
      <c r="U37" s="285"/>
      <c r="V37" s="639">
        <f>R37-(M37)</f>
        <v>-4.6000000000000014</v>
      </c>
      <c r="W37" s="537">
        <f>S37-(M37)</f>
        <v>2.8666666666666671</v>
      </c>
      <c r="X37" s="290">
        <f>T37-(M37)</f>
        <v>17.799999999999997</v>
      </c>
      <c r="Y37" s="139"/>
      <c r="Z37" s="232"/>
      <c r="AA37" s="232"/>
    </row>
    <row r="38" spans="1:28" s="9" customFormat="1" x14ac:dyDescent="0.3">
      <c r="A38" s="480"/>
      <c r="B38" s="291"/>
      <c r="C38" s="292"/>
      <c r="D38" s="292"/>
      <c r="E38" s="420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523"/>
      <c r="X38" s="293"/>
      <c r="Y38" s="230"/>
      <c r="Z38" s="231"/>
      <c r="AA38" s="231"/>
    </row>
    <row r="39" spans="1:28" s="100" customFormat="1" ht="18" customHeight="1" x14ac:dyDescent="0.3">
      <c r="A39" s="481">
        <v>19.02</v>
      </c>
      <c r="B39" s="296" t="s">
        <v>20</v>
      </c>
      <c r="C39" s="297" t="s">
        <v>19</v>
      </c>
      <c r="D39" s="300"/>
      <c r="E39" s="421">
        <v>21.9</v>
      </c>
      <c r="F39" s="300"/>
      <c r="G39" s="298">
        <v>5</v>
      </c>
      <c r="H39" s="298">
        <v>15</v>
      </c>
      <c r="I39" s="298">
        <v>4</v>
      </c>
      <c r="J39" s="298">
        <v>22</v>
      </c>
      <c r="K39" s="299">
        <v>7</v>
      </c>
      <c r="L39" s="300"/>
      <c r="M39" s="301">
        <v>32</v>
      </c>
      <c r="N39" s="300"/>
      <c r="O39" s="287">
        <f>SUM(H39:J39)/3</f>
        <v>13.666666666666666</v>
      </c>
      <c r="P39" s="288">
        <f>SUM(G39:J39)/37.5</f>
        <v>1.2266666666666666</v>
      </c>
      <c r="Q39" s="300"/>
      <c r="R39" s="289">
        <f>P39*6</f>
        <v>7.3599999999999994</v>
      </c>
      <c r="S39" s="289">
        <f>P39*8</f>
        <v>9.8133333333333326</v>
      </c>
      <c r="T39" s="135">
        <f>P39*12</f>
        <v>14.719999999999999</v>
      </c>
      <c r="U39" s="285"/>
      <c r="V39" s="639">
        <f>R39-(M39)</f>
        <v>-24.64</v>
      </c>
      <c r="W39" s="537">
        <f>S39-(M39)</f>
        <v>-22.186666666666667</v>
      </c>
      <c r="X39" s="290">
        <f>T39-(M39)</f>
        <v>-17.28</v>
      </c>
      <c r="Y39" s="227"/>
      <c r="Z39" s="228"/>
      <c r="AA39" s="228"/>
    </row>
    <row r="40" spans="1:28" s="9" customFormat="1" x14ac:dyDescent="0.3">
      <c r="A40" s="480"/>
      <c r="B40" s="302"/>
      <c r="C40" s="303"/>
      <c r="D40" s="303"/>
      <c r="E40" s="422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532"/>
      <c r="X40" s="304"/>
      <c r="Y40" s="243"/>
      <c r="Z40" s="244"/>
      <c r="AA40" s="484"/>
    </row>
    <row r="41" spans="1:28" x14ac:dyDescent="0.3">
      <c r="A41" s="825">
        <v>19.02</v>
      </c>
      <c r="B41" s="58" t="s">
        <v>189</v>
      </c>
      <c r="C41" s="62" t="s">
        <v>189</v>
      </c>
      <c r="D41" s="141"/>
      <c r="E41" s="415">
        <v>10.5</v>
      </c>
      <c r="F41" s="141"/>
      <c r="G41" s="6">
        <v>16</v>
      </c>
      <c r="H41" s="6">
        <v>679</v>
      </c>
      <c r="I41" s="6">
        <v>744</v>
      </c>
      <c r="J41" s="6">
        <v>392</v>
      </c>
      <c r="K41" s="6">
        <v>282</v>
      </c>
      <c r="L41" s="141"/>
      <c r="M41" s="131">
        <v>156</v>
      </c>
      <c r="N41" s="753"/>
      <c r="O41" s="762"/>
      <c r="P41" s="763"/>
      <c r="Q41" s="753"/>
      <c r="R41" s="834"/>
      <c r="S41" s="835"/>
      <c r="T41" s="836"/>
      <c r="U41" s="753"/>
      <c r="V41" s="768"/>
      <c r="W41" s="533"/>
      <c r="X41" s="811"/>
      <c r="Y41" s="753"/>
      <c r="Z41" s="802"/>
      <c r="AA41" s="802" t="s">
        <v>270</v>
      </c>
    </row>
    <row r="42" spans="1:28" x14ac:dyDescent="0.3">
      <c r="A42" s="825"/>
      <c r="B42" s="656" t="s">
        <v>190</v>
      </c>
      <c r="C42" s="657" t="s">
        <v>192</v>
      </c>
      <c r="D42" s="402"/>
      <c r="E42" s="423"/>
      <c r="F42" s="402"/>
      <c r="G42" s="19"/>
      <c r="H42" s="19"/>
      <c r="I42" s="19">
        <v>0</v>
      </c>
      <c r="J42" s="19">
        <v>10</v>
      </c>
      <c r="K42" s="19">
        <v>231</v>
      </c>
      <c r="L42" s="402"/>
      <c r="M42" s="659"/>
      <c r="N42" s="754"/>
      <c r="O42" s="764"/>
      <c r="P42" s="765"/>
      <c r="Q42" s="754"/>
      <c r="R42" s="837"/>
      <c r="S42" s="838"/>
      <c r="T42" s="839"/>
      <c r="U42" s="754"/>
      <c r="V42" s="769"/>
      <c r="W42" s="521"/>
      <c r="X42" s="788"/>
      <c r="Y42" s="754"/>
      <c r="Z42" s="784"/>
      <c r="AA42" s="784"/>
    </row>
    <row r="43" spans="1:28" x14ac:dyDescent="0.3">
      <c r="A43" s="825"/>
      <c r="B43" s="658" t="s">
        <v>191</v>
      </c>
      <c r="C43" s="657" t="s">
        <v>191</v>
      </c>
      <c r="D43" s="402"/>
      <c r="E43" s="423"/>
      <c r="F43" s="402"/>
      <c r="G43" s="19"/>
      <c r="H43" s="19"/>
      <c r="I43" s="19">
        <v>5</v>
      </c>
      <c r="J43" s="19">
        <v>153</v>
      </c>
      <c r="K43" s="19">
        <v>0</v>
      </c>
      <c r="L43" s="402"/>
      <c r="M43" s="659"/>
      <c r="N43" s="754"/>
      <c r="O43" s="764"/>
      <c r="P43" s="765"/>
      <c r="Q43" s="754"/>
      <c r="R43" s="837"/>
      <c r="S43" s="838"/>
      <c r="T43" s="839"/>
      <c r="U43" s="754"/>
      <c r="V43" s="769"/>
      <c r="W43" s="521"/>
      <c r="X43" s="788"/>
      <c r="Y43" s="754"/>
      <c r="Z43" s="784"/>
      <c r="AA43" s="784"/>
    </row>
    <row r="44" spans="1:28" x14ac:dyDescent="0.3">
      <c r="A44" s="825"/>
      <c r="B44" s="128" t="s">
        <v>331</v>
      </c>
      <c r="C44" s="13" t="s">
        <v>417</v>
      </c>
      <c r="D44" s="140"/>
      <c r="E44" s="407">
        <v>11.9</v>
      </c>
      <c r="F44" s="140"/>
      <c r="G44" s="2">
        <v>15</v>
      </c>
      <c r="H44" s="2">
        <v>0</v>
      </c>
      <c r="I44" s="2">
        <v>0</v>
      </c>
      <c r="J44" s="2">
        <v>0</v>
      </c>
      <c r="K44" s="145">
        <v>0</v>
      </c>
      <c r="L44" s="140"/>
      <c r="M44" s="13">
        <v>405</v>
      </c>
      <c r="N44" s="755"/>
      <c r="O44" s="766"/>
      <c r="P44" s="767"/>
      <c r="Q44" s="755"/>
      <c r="R44" s="840"/>
      <c r="S44" s="841"/>
      <c r="T44" s="842"/>
      <c r="U44" s="755"/>
      <c r="V44" s="770"/>
      <c r="W44" s="522"/>
      <c r="X44" s="789"/>
      <c r="Y44" s="755"/>
      <c r="Z44" s="785"/>
      <c r="AA44" s="785"/>
    </row>
    <row r="45" spans="1:28" s="100" customFormat="1" x14ac:dyDescent="0.3">
      <c r="A45" s="825"/>
      <c r="B45" s="132" t="s">
        <v>99</v>
      </c>
      <c r="C45" s="133"/>
      <c r="D45" s="139"/>
      <c r="E45" s="412"/>
      <c r="F45" s="139"/>
      <c r="G45" s="134">
        <f>SUM(G41:G44)</f>
        <v>31</v>
      </c>
      <c r="H45" s="134">
        <f>SUM(H41:H44)</f>
        <v>679</v>
      </c>
      <c r="I45" s="134">
        <f>SUM(I41:I44)</f>
        <v>749</v>
      </c>
      <c r="J45" s="134">
        <f>SUM(J41:J44)</f>
        <v>555</v>
      </c>
      <c r="K45" s="144">
        <f>SUM(K41:K44)</f>
        <v>513</v>
      </c>
      <c r="L45" s="139"/>
      <c r="M45" s="149">
        <f>SUM(M41:M44)</f>
        <v>561</v>
      </c>
      <c r="N45" s="139"/>
      <c r="O45" s="287">
        <f>SUM(H45:J45)/3</f>
        <v>661</v>
      </c>
      <c r="P45" s="288">
        <f>SUM(G45:J45)/37.5</f>
        <v>53.706666666666663</v>
      </c>
      <c r="Q45" s="139"/>
      <c r="R45" s="289">
        <f>P45*6</f>
        <v>322.24</v>
      </c>
      <c r="S45" s="289">
        <f>P45*8</f>
        <v>429.65333333333331</v>
      </c>
      <c r="T45" s="135">
        <f>P45*12</f>
        <v>644.48</v>
      </c>
      <c r="U45" s="285"/>
      <c r="V45" s="639">
        <f>R45-(M45)</f>
        <v>-238.76</v>
      </c>
      <c r="W45" s="537">
        <f>S45-(M45)</f>
        <v>-131.34666666666669</v>
      </c>
      <c r="X45" s="290">
        <f>T45-(M45)</f>
        <v>83.480000000000018</v>
      </c>
      <c r="Y45" s="139"/>
      <c r="Z45" s="225"/>
      <c r="AA45" s="225"/>
      <c r="AB45" s="100" t="s">
        <v>402</v>
      </c>
    </row>
    <row r="46" spans="1:28" s="9" customFormat="1" x14ac:dyDescent="0.3">
      <c r="A46" s="480"/>
      <c r="B46" s="305"/>
      <c r="C46" s="306"/>
      <c r="D46" s="306"/>
      <c r="E46" s="406"/>
      <c r="F46" s="306"/>
      <c r="G46" s="306"/>
      <c r="H46" s="306"/>
      <c r="I46" s="4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534"/>
      <c r="X46" s="307"/>
      <c r="Y46" s="245"/>
      <c r="Z46" s="246"/>
      <c r="AA46" s="485"/>
      <c r="AB46" s="9" t="s">
        <v>403</v>
      </c>
    </row>
    <row r="47" spans="1:28" s="9" customFormat="1" x14ac:dyDescent="0.3">
      <c r="A47" s="825">
        <v>25.02</v>
      </c>
      <c r="B47" s="403" t="s">
        <v>160</v>
      </c>
      <c r="C47" s="404"/>
      <c r="D47" s="404"/>
      <c r="E47" s="42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  <c r="W47" s="535"/>
      <c r="X47" s="405"/>
      <c r="Y47" s="248"/>
      <c r="Z47" s="249"/>
      <c r="AA47" s="249"/>
    </row>
    <row r="48" spans="1:28" x14ac:dyDescent="0.3">
      <c r="A48" s="825"/>
      <c r="B48" s="273" t="s">
        <v>18</v>
      </c>
      <c r="C48" s="274" t="s">
        <v>17</v>
      </c>
      <c r="D48" s="277" t="s">
        <v>326</v>
      </c>
      <c r="E48" s="417"/>
      <c r="F48" s="277"/>
      <c r="G48" s="308">
        <f>4+4</f>
        <v>8</v>
      </c>
      <c r="H48" s="308">
        <v>10</v>
      </c>
      <c r="I48" s="308">
        <v>22</v>
      </c>
      <c r="J48" s="308">
        <v>22</v>
      </c>
      <c r="K48" s="309">
        <v>49</v>
      </c>
      <c r="L48" s="277"/>
      <c r="M48" s="274">
        <v>7</v>
      </c>
      <c r="N48" s="277"/>
      <c r="O48" s="805"/>
      <c r="P48" s="807"/>
      <c r="Q48" s="277"/>
      <c r="R48" s="795"/>
      <c r="S48" s="488"/>
      <c r="T48" s="795"/>
      <c r="U48" s="277"/>
      <c r="V48" s="809"/>
      <c r="W48" s="812"/>
      <c r="X48" s="809"/>
      <c r="Y48" s="141"/>
      <c r="Z48" s="803"/>
      <c r="AA48" s="803"/>
    </row>
    <row r="49" spans="1:27" x14ac:dyDescent="0.3">
      <c r="A49" s="825"/>
      <c r="B49" s="310" t="s">
        <v>33</v>
      </c>
      <c r="C49" s="311" t="s">
        <v>34</v>
      </c>
      <c r="D49" s="312"/>
      <c r="E49" s="425"/>
      <c r="F49" s="312"/>
      <c r="G49" s="311">
        <f>2+9</f>
        <v>11</v>
      </c>
      <c r="H49" s="311">
        <v>43</v>
      </c>
      <c r="I49" s="311">
        <v>41</v>
      </c>
      <c r="J49" s="311">
        <v>34</v>
      </c>
      <c r="K49" s="311">
        <v>74</v>
      </c>
      <c r="L49" s="312"/>
      <c r="M49" s="313">
        <v>27</v>
      </c>
      <c r="N49" s="312"/>
      <c r="O49" s="806"/>
      <c r="P49" s="808"/>
      <c r="Q49" s="312"/>
      <c r="R49" s="796"/>
      <c r="S49" s="489"/>
      <c r="T49" s="796"/>
      <c r="U49" s="312"/>
      <c r="V49" s="810"/>
      <c r="W49" s="813"/>
      <c r="X49" s="810"/>
      <c r="Y49" s="153"/>
      <c r="Z49" s="804"/>
      <c r="AA49" s="804"/>
    </row>
    <row r="50" spans="1:27" s="100" customFormat="1" x14ac:dyDescent="0.3">
      <c r="A50" s="825"/>
      <c r="B50" s="281" t="s">
        <v>99</v>
      </c>
      <c r="C50" s="282"/>
      <c r="D50" s="285"/>
      <c r="E50" s="419"/>
      <c r="F50" s="285"/>
      <c r="G50" s="283">
        <f>SUM(G48:G49)</f>
        <v>19</v>
      </c>
      <c r="H50" s="283">
        <f>SUM(H48:H49)</f>
        <v>53</v>
      </c>
      <c r="I50" s="283">
        <f t="shared" ref="I50:K50" si="2">SUM(I48:I49)</f>
        <v>63</v>
      </c>
      <c r="J50" s="283">
        <f t="shared" si="2"/>
        <v>56</v>
      </c>
      <c r="K50" s="283">
        <f t="shared" si="2"/>
        <v>123</v>
      </c>
      <c r="L50" s="285"/>
      <c r="M50" s="286">
        <f>SUM(M48:M49)</f>
        <v>34</v>
      </c>
      <c r="N50" s="285"/>
      <c r="O50" s="287">
        <f>SUM(H50:J50)/3</f>
        <v>57.333333333333336</v>
      </c>
      <c r="P50" s="288">
        <f>SUM(G50:J50)/37.5</f>
        <v>5.0933333333333337</v>
      </c>
      <c r="Q50" s="285"/>
      <c r="R50" s="289">
        <f>P50*6</f>
        <v>30.560000000000002</v>
      </c>
      <c r="S50" s="289">
        <f>P50*8</f>
        <v>40.74666666666667</v>
      </c>
      <c r="T50" s="135">
        <f>P50*12</f>
        <v>61.120000000000005</v>
      </c>
      <c r="U50" s="285"/>
      <c r="V50" s="639">
        <f>R50-(M50)</f>
        <v>-3.4399999999999977</v>
      </c>
      <c r="W50" s="537">
        <f>S50-(M50)</f>
        <v>6.7466666666666697</v>
      </c>
      <c r="X50" s="290">
        <f>T50-(M50)</f>
        <v>27.120000000000005</v>
      </c>
      <c r="Y50" s="139"/>
      <c r="Z50" s="232"/>
      <c r="AA50" s="232">
        <v>0</v>
      </c>
    </row>
    <row r="51" spans="1:27" s="9" customFormat="1" x14ac:dyDescent="0.3">
      <c r="A51" s="480"/>
      <c r="B51" s="229"/>
      <c r="C51" s="230"/>
      <c r="D51" s="230"/>
      <c r="E51" s="416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536"/>
      <c r="X51" s="231"/>
      <c r="Y51" s="230"/>
      <c r="Z51" s="231"/>
      <c r="AA51" s="231"/>
    </row>
    <row r="52" spans="1:27" s="9" customFormat="1" x14ac:dyDescent="0.3">
      <c r="A52" s="480"/>
      <c r="B52" s="20"/>
      <c r="C52" s="21"/>
      <c r="D52" s="150"/>
      <c r="E52" s="413"/>
      <c r="F52" s="150"/>
      <c r="G52" s="21"/>
      <c r="H52" s="21"/>
      <c r="I52" s="21"/>
      <c r="J52" s="21"/>
      <c r="K52" s="21"/>
      <c r="L52" s="150"/>
      <c r="M52" s="21"/>
      <c r="N52" s="150"/>
      <c r="O52" s="21"/>
      <c r="P52" s="21"/>
      <c r="Q52" s="150"/>
      <c r="R52" s="21"/>
      <c r="S52" s="21"/>
      <c r="T52" s="21"/>
      <c r="U52" s="150"/>
      <c r="V52" s="829"/>
      <c r="W52" s="830"/>
      <c r="X52" s="831"/>
      <c r="Y52" s="150"/>
      <c r="Z52" s="22"/>
      <c r="AA52" s="22"/>
    </row>
    <row r="53" spans="1:27" x14ac:dyDescent="0.3">
      <c r="A53" s="482">
        <v>22.01</v>
      </c>
      <c r="B53" s="3" t="s">
        <v>6</v>
      </c>
      <c r="C53" s="13" t="s">
        <v>27</v>
      </c>
      <c r="D53" s="140"/>
      <c r="E53" s="407"/>
      <c r="F53" s="140"/>
      <c r="G53" s="2"/>
      <c r="H53" s="2">
        <v>0</v>
      </c>
      <c r="I53" s="2"/>
      <c r="J53" s="2"/>
      <c r="K53" s="145"/>
      <c r="L53" s="140"/>
      <c r="M53" s="13">
        <v>1</v>
      </c>
      <c r="N53" s="140"/>
      <c r="O53" s="11">
        <f>SUM(I53:K53)/3</f>
        <v>0</v>
      </c>
      <c r="P53" s="11">
        <f>SUM(H53:K53)/37</f>
        <v>0</v>
      </c>
      <c r="Q53" s="140"/>
      <c r="R53" s="2"/>
      <c r="S53" s="2"/>
      <c r="T53" s="2"/>
      <c r="U53" s="140"/>
      <c r="V53" s="314"/>
      <c r="W53" s="520"/>
      <c r="X53" s="314"/>
      <c r="Y53" s="140"/>
      <c r="Z53" s="4"/>
      <c r="AA53" s="4"/>
    </row>
    <row r="54" spans="1:27" s="9" customFormat="1" x14ac:dyDescent="0.3">
      <c r="A54" s="480"/>
      <c r="B54" s="20"/>
      <c r="C54" s="21"/>
      <c r="D54" s="150"/>
      <c r="E54" s="413"/>
      <c r="F54" s="150"/>
      <c r="G54" s="21"/>
      <c r="H54" s="21"/>
      <c r="I54" s="21"/>
      <c r="J54" s="21"/>
      <c r="K54" s="21"/>
      <c r="L54" s="150"/>
      <c r="M54" s="21"/>
      <c r="N54" s="150"/>
      <c r="O54" s="21"/>
      <c r="P54" s="21"/>
      <c r="Q54" s="150"/>
      <c r="R54" s="21"/>
      <c r="S54" s="21"/>
      <c r="T54" s="21"/>
      <c r="U54" s="150"/>
      <c r="V54" s="826"/>
      <c r="W54" s="827"/>
      <c r="X54" s="828"/>
      <c r="Y54" s="150"/>
      <c r="Z54" s="22"/>
      <c r="AA54" s="22"/>
    </row>
    <row r="55" spans="1:27" x14ac:dyDescent="0.3">
      <c r="A55" s="660" t="s">
        <v>113</v>
      </c>
      <c r="B55" s="661" t="s">
        <v>8</v>
      </c>
      <c r="C55" s="651" t="s">
        <v>7</v>
      </c>
      <c r="D55" s="140"/>
      <c r="E55" s="407"/>
      <c r="F55" s="140"/>
      <c r="G55" s="652"/>
      <c r="H55" s="652">
        <v>0</v>
      </c>
      <c r="I55" s="652">
        <v>1</v>
      </c>
      <c r="J55" s="652"/>
      <c r="K55" s="653"/>
      <c r="L55" s="140"/>
      <c r="M55" s="651">
        <v>0</v>
      </c>
      <c r="N55" s="140"/>
      <c r="O55" s="11">
        <f>SUM(I55:K55)/3</f>
        <v>0.33333333333333331</v>
      </c>
      <c r="P55" s="11">
        <f>SUM(H55:K55)/37</f>
        <v>2.7027027027027029E-2</v>
      </c>
      <c r="Q55" s="140"/>
      <c r="R55" s="2"/>
      <c r="S55" s="2"/>
      <c r="T55" s="2"/>
      <c r="U55" s="140"/>
      <c r="V55" s="314"/>
      <c r="W55" s="520"/>
      <c r="X55" s="314"/>
      <c r="Y55" s="140"/>
      <c r="Z55" s="4"/>
      <c r="AA55" s="4"/>
    </row>
  </sheetData>
  <mergeCells count="95">
    <mergeCell ref="V54:X54"/>
    <mergeCell ref="V52:X52"/>
    <mergeCell ref="O5:O6"/>
    <mergeCell ref="P5:P6"/>
    <mergeCell ref="Q41:Q44"/>
    <mergeCell ref="R41:T44"/>
    <mergeCell ref="R5:R6"/>
    <mergeCell ref="T5:T6"/>
    <mergeCell ref="R10:T11"/>
    <mergeCell ref="Q10:Q11"/>
    <mergeCell ref="V20:V24"/>
    <mergeCell ref="V29:V31"/>
    <mergeCell ref="V34:V36"/>
    <mergeCell ref="A5:A7"/>
    <mergeCell ref="A20:A25"/>
    <mergeCell ref="A47:A50"/>
    <mergeCell ref="A10:A12"/>
    <mergeCell ref="A14:A18"/>
    <mergeCell ref="A29:A32"/>
    <mergeCell ref="A34:A37"/>
    <mergeCell ref="A41:A45"/>
    <mergeCell ref="AA5:AA6"/>
    <mergeCell ref="AA10:AA11"/>
    <mergeCell ref="AA14:AA17"/>
    <mergeCell ref="AA20:AA24"/>
    <mergeCell ref="AA29:AA31"/>
    <mergeCell ref="AA34:AA36"/>
    <mergeCell ref="AA41:AA44"/>
    <mergeCell ref="AA48:AA49"/>
    <mergeCell ref="O48:O49"/>
    <mergeCell ref="P48:P49"/>
    <mergeCell ref="U34:U36"/>
    <mergeCell ref="V48:V49"/>
    <mergeCell ref="X41:X44"/>
    <mergeCell ref="Y41:Y44"/>
    <mergeCell ref="Z41:Z44"/>
    <mergeCell ref="W48:W49"/>
    <mergeCell ref="Z48:Z49"/>
    <mergeCell ref="Y34:Y36"/>
    <mergeCell ref="Z34:Z36"/>
    <mergeCell ref="X34:X36"/>
    <mergeCell ref="X48:X49"/>
    <mergeCell ref="N10:N11"/>
    <mergeCell ref="U10:U11"/>
    <mergeCell ref="R48:R49"/>
    <mergeCell ref="T20:T24"/>
    <mergeCell ref="R34:R36"/>
    <mergeCell ref="T34:T36"/>
    <mergeCell ref="T48:T49"/>
    <mergeCell ref="R29:R31"/>
    <mergeCell ref="T29:T31"/>
    <mergeCell ref="R20:R24"/>
    <mergeCell ref="U20:U24"/>
    <mergeCell ref="Q29:Q31"/>
    <mergeCell ref="U29:U31"/>
    <mergeCell ref="Q34:Q36"/>
    <mergeCell ref="Q20:Q24"/>
    <mergeCell ref="O10:P11"/>
    <mergeCell ref="Z5:Z6"/>
    <mergeCell ref="Y10:Y11"/>
    <mergeCell ref="Z10:Z11"/>
    <mergeCell ref="X5:X6"/>
    <mergeCell ref="X10:X11"/>
    <mergeCell ref="V8:X8"/>
    <mergeCell ref="V5:V6"/>
    <mergeCell ref="V10:V11"/>
    <mergeCell ref="Y20:Y24"/>
    <mergeCell ref="Z20:Z24"/>
    <mergeCell ref="Y29:Y31"/>
    <mergeCell ref="O41:P44"/>
    <mergeCell ref="U41:U44"/>
    <mergeCell ref="V41:V44"/>
    <mergeCell ref="O20:O24"/>
    <mergeCell ref="P20:P24"/>
    <mergeCell ref="O34:O36"/>
    <mergeCell ref="P34:P36"/>
    <mergeCell ref="O29:O31"/>
    <mergeCell ref="P29:P31"/>
    <mergeCell ref="Z29:Z31"/>
    <mergeCell ref="X20:X24"/>
    <mergeCell ref="X29:X31"/>
    <mergeCell ref="L20:L24"/>
    <mergeCell ref="L29:L31"/>
    <mergeCell ref="L34:L36"/>
    <mergeCell ref="N41:N44"/>
    <mergeCell ref="N34:N36"/>
    <mergeCell ref="N29:N31"/>
    <mergeCell ref="N20:N24"/>
    <mergeCell ref="D34:D36"/>
    <mergeCell ref="F34:F36"/>
    <mergeCell ref="D14:D17"/>
    <mergeCell ref="D20:D24"/>
    <mergeCell ref="F20:F24"/>
    <mergeCell ref="D29:D31"/>
    <mergeCell ref="F29:F31"/>
  </mergeCells>
  <pageMargins left="0.25" right="0.25" top="0.75" bottom="0.75" header="0.3" footer="0.3"/>
  <pageSetup paperSize="9" scale="67" orientation="landscape" r:id="rId1"/>
  <colBreaks count="1" manualBreakCount="1">
    <brk id="2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84958-69B8-4213-BDE6-0F557CE66DB3}">
  <dimension ref="A2:S44"/>
  <sheetViews>
    <sheetView topLeftCell="A7" workbookViewId="0">
      <selection activeCell="R28" sqref="R28"/>
    </sheetView>
  </sheetViews>
  <sheetFormatPr baseColWidth="10" defaultRowHeight="14.4" x14ac:dyDescent="0.3"/>
  <cols>
    <col min="1" max="1" width="4.21875" style="1" customWidth="1"/>
    <col min="2" max="3" width="28.109375" style="1" bestFit="1" customWidth="1"/>
    <col min="4" max="7" width="9" style="1" customWidth="1"/>
    <col min="8" max="8" width="1.33203125" style="1" customWidth="1"/>
    <col min="9" max="9" width="10.21875" style="1" bestFit="1" customWidth="1"/>
    <col min="10" max="10" width="6.33203125" style="1" bestFit="1" customWidth="1"/>
    <col min="11" max="11" width="1.33203125" style="1" customWidth="1"/>
    <col min="12" max="13" width="10.33203125" style="1" customWidth="1"/>
    <col min="14" max="14" width="1.33203125" style="1" customWidth="1"/>
    <col min="15" max="16" width="16.109375" style="1" customWidth="1"/>
    <col min="17" max="17" width="1.33203125" style="1" customWidth="1"/>
    <col min="18" max="18" width="73" style="1" bestFit="1" customWidth="1"/>
    <col min="19" max="19" width="13.6640625" style="1" bestFit="1" customWidth="1"/>
    <col min="20" max="16384" width="11.5546875" style="1"/>
  </cols>
  <sheetData>
    <row r="2" spans="1:18" x14ac:dyDescent="0.3">
      <c r="B2" s="1" t="s">
        <v>66</v>
      </c>
    </row>
    <row r="4" spans="1:18" ht="14.4" customHeight="1" x14ac:dyDescent="0.3">
      <c r="B4" s="159" t="s">
        <v>221</v>
      </c>
      <c r="C4" s="160"/>
      <c r="D4" s="161" t="s">
        <v>54</v>
      </c>
      <c r="E4" s="162"/>
      <c r="F4" s="162"/>
      <c r="G4" s="163"/>
      <c r="H4" s="164"/>
      <c r="I4" s="843" t="s">
        <v>3</v>
      </c>
      <c r="J4" s="843" t="s">
        <v>57</v>
      </c>
      <c r="K4" s="166"/>
      <c r="L4" s="843" t="s">
        <v>1</v>
      </c>
      <c r="M4" s="843" t="s">
        <v>2</v>
      </c>
      <c r="N4" s="166"/>
      <c r="O4" s="843" t="s">
        <v>101</v>
      </c>
      <c r="P4" s="843" t="s">
        <v>102</v>
      </c>
      <c r="Q4" s="166"/>
      <c r="R4" s="843" t="s">
        <v>162</v>
      </c>
    </row>
    <row r="5" spans="1:18" x14ac:dyDescent="0.3">
      <c r="B5" s="66" t="s">
        <v>56</v>
      </c>
      <c r="C5" s="67" t="s">
        <v>55</v>
      </c>
      <c r="D5" s="68">
        <v>2024</v>
      </c>
      <c r="E5" s="68">
        <v>2023</v>
      </c>
      <c r="F5" s="68">
        <v>2022</v>
      </c>
      <c r="G5" s="68">
        <v>2021</v>
      </c>
      <c r="H5" s="165"/>
      <c r="I5" s="844"/>
      <c r="J5" s="844"/>
      <c r="K5" s="167"/>
      <c r="L5" s="844"/>
      <c r="M5" s="844"/>
      <c r="N5" s="167"/>
      <c r="O5" s="844"/>
      <c r="P5" s="844"/>
      <c r="Q5" s="167"/>
      <c r="R5" s="844"/>
    </row>
    <row r="6" spans="1:18" x14ac:dyDescent="0.3">
      <c r="A6" s="453"/>
      <c r="B6" s="3" t="s">
        <v>170</v>
      </c>
      <c r="C6" s="2" t="s">
        <v>170</v>
      </c>
      <c r="D6" s="18">
        <v>0</v>
      </c>
      <c r="E6" s="18">
        <v>0</v>
      </c>
      <c r="F6" s="18">
        <v>0</v>
      </c>
      <c r="G6" s="18">
        <v>0</v>
      </c>
      <c r="H6" s="19"/>
      <c r="I6" s="18">
        <v>0</v>
      </c>
      <c r="J6" s="18">
        <v>0</v>
      </c>
      <c r="K6" s="19"/>
      <c r="L6" s="18"/>
      <c r="M6" s="18"/>
      <c r="N6" s="19"/>
      <c r="O6" s="18"/>
      <c r="P6" s="18"/>
      <c r="Q6" s="19"/>
      <c r="R6" s="212" t="s">
        <v>214</v>
      </c>
    </row>
    <row r="7" spans="1:18" s="127" customFormat="1" x14ac:dyDescent="0.3">
      <c r="A7" s="454"/>
      <c r="B7" s="168" t="s">
        <v>181</v>
      </c>
      <c r="C7" s="152" t="s">
        <v>171</v>
      </c>
      <c r="D7" s="169">
        <v>0</v>
      </c>
      <c r="E7" s="169">
        <v>0</v>
      </c>
      <c r="F7" s="169">
        <v>8</v>
      </c>
      <c r="G7" s="169">
        <v>0</v>
      </c>
      <c r="H7" s="170"/>
      <c r="I7" s="169">
        <v>0</v>
      </c>
      <c r="J7" s="169">
        <v>0</v>
      </c>
      <c r="K7" s="170"/>
      <c r="L7" s="169"/>
      <c r="M7" s="169"/>
      <c r="N7" s="170"/>
      <c r="O7" s="169"/>
      <c r="P7" s="169"/>
      <c r="Q7" s="170"/>
      <c r="R7" s="171" t="s">
        <v>186</v>
      </c>
    </row>
    <row r="8" spans="1:18" s="127" customFormat="1" x14ac:dyDescent="0.3">
      <c r="B8" s="168"/>
      <c r="C8" s="152"/>
      <c r="D8" s="169"/>
      <c r="E8" s="169"/>
      <c r="F8" s="169"/>
      <c r="G8" s="169"/>
      <c r="H8" s="170"/>
      <c r="I8" s="169"/>
      <c r="J8" s="169"/>
      <c r="K8" s="170"/>
      <c r="L8" s="169"/>
      <c r="M8" s="169"/>
      <c r="N8" s="170"/>
      <c r="O8" s="169"/>
      <c r="P8" s="169"/>
      <c r="Q8" s="170"/>
      <c r="R8" s="171"/>
    </row>
    <row r="9" spans="1:18" x14ac:dyDescent="0.3">
      <c r="A9" s="453"/>
      <c r="B9" s="3" t="s">
        <v>172</v>
      </c>
      <c r="C9" s="2" t="s">
        <v>172</v>
      </c>
      <c r="D9" s="18">
        <v>0</v>
      </c>
      <c r="E9" s="18">
        <v>0</v>
      </c>
      <c r="F9" s="18">
        <v>0</v>
      </c>
      <c r="G9" s="18">
        <v>0</v>
      </c>
      <c r="H9" s="19"/>
      <c r="I9" s="18">
        <v>0</v>
      </c>
      <c r="J9" s="18">
        <v>0</v>
      </c>
      <c r="K9" s="19"/>
      <c r="L9" s="18"/>
      <c r="M9" s="18"/>
      <c r="N9" s="19"/>
      <c r="O9" s="18"/>
      <c r="P9" s="18"/>
      <c r="Q9" s="19"/>
      <c r="R9" s="212" t="s">
        <v>214</v>
      </c>
    </row>
    <row r="10" spans="1:18" s="127" customFormat="1" x14ac:dyDescent="0.3">
      <c r="A10" s="454"/>
      <c r="B10" s="168" t="s">
        <v>182</v>
      </c>
      <c r="C10" s="152" t="s">
        <v>173</v>
      </c>
      <c r="D10" s="169">
        <v>0</v>
      </c>
      <c r="E10" s="169">
        <v>0</v>
      </c>
      <c r="F10" s="169">
        <v>0</v>
      </c>
      <c r="G10" s="169">
        <v>0</v>
      </c>
      <c r="H10" s="170">
        <v>0</v>
      </c>
      <c r="I10" s="169">
        <v>0</v>
      </c>
      <c r="J10" s="169">
        <v>0</v>
      </c>
      <c r="K10" s="170"/>
      <c r="L10" s="169"/>
      <c r="M10" s="169"/>
      <c r="N10" s="170"/>
      <c r="O10" s="169"/>
      <c r="P10" s="169"/>
      <c r="Q10" s="170"/>
      <c r="R10" s="171" t="s">
        <v>186</v>
      </c>
    </row>
    <row r="11" spans="1:18" s="127" customFormat="1" x14ac:dyDescent="0.3">
      <c r="B11" s="168"/>
      <c r="C11" s="152"/>
      <c r="D11" s="169"/>
      <c r="E11" s="169"/>
      <c r="F11" s="169"/>
      <c r="G11" s="169"/>
      <c r="H11" s="170"/>
      <c r="I11" s="169"/>
      <c r="J11" s="169"/>
      <c r="K11" s="170"/>
      <c r="L11" s="169"/>
      <c r="M11" s="169"/>
      <c r="N11" s="170"/>
      <c r="O11" s="169"/>
      <c r="P11" s="169"/>
      <c r="Q11" s="170"/>
      <c r="R11" s="171"/>
    </row>
    <row r="12" spans="1:18" x14ac:dyDescent="0.3">
      <c r="A12" s="453"/>
      <c r="B12" s="3" t="s">
        <v>165</v>
      </c>
      <c r="C12" s="2" t="s">
        <v>165</v>
      </c>
      <c r="D12" s="18">
        <v>0</v>
      </c>
      <c r="E12" s="18">
        <v>2</v>
      </c>
      <c r="F12" s="18">
        <v>5</v>
      </c>
      <c r="G12" s="18">
        <v>0</v>
      </c>
      <c r="H12" s="19"/>
      <c r="I12" s="18">
        <v>0</v>
      </c>
      <c r="J12" s="18">
        <v>0</v>
      </c>
      <c r="K12" s="19"/>
      <c r="L12" s="18"/>
      <c r="M12" s="18"/>
      <c r="N12" s="19"/>
      <c r="O12" s="18"/>
      <c r="P12" s="18"/>
      <c r="Q12" s="19"/>
      <c r="R12" s="212" t="s">
        <v>214</v>
      </c>
    </row>
    <row r="13" spans="1:18" x14ac:dyDescent="0.3">
      <c r="A13" s="453"/>
      <c r="B13" s="3" t="s">
        <v>183</v>
      </c>
      <c r="C13" s="2" t="s">
        <v>174</v>
      </c>
      <c r="D13" s="18">
        <v>0</v>
      </c>
      <c r="E13" s="18">
        <v>0</v>
      </c>
      <c r="F13" s="18">
        <v>0</v>
      </c>
      <c r="G13" s="18">
        <v>0</v>
      </c>
      <c r="H13" s="19"/>
      <c r="I13" s="18">
        <v>0</v>
      </c>
      <c r="J13" s="18">
        <v>0</v>
      </c>
      <c r="K13" s="19"/>
      <c r="L13" s="18"/>
      <c r="M13" s="18"/>
      <c r="N13" s="19"/>
      <c r="O13" s="18"/>
      <c r="P13" s="18"/>
      <c r="Q13" s="19"/>
      <c r="R13" s="212" t="s">
        <v>214</v>
      </c>
    </row>
    <row r="14" spans="1:18" x14ac:dyDescent="0.3">
      <c r="A14" s="453"/>
      <c r="B14" s="3" t="s">
        <v>386</v>
      </c>
      <c r="C14" s="2" t="s">
        <v>385</v>
      </c>
      <c r="D14" s="18">
        <v>3</v>
      </c>
      <c r="E14" s="18">
        <v>0</v>
      </c>
      <c r="F14" s="18">
        <v>0</v>
      </c>
      <c r="G14" s="18">
        <v>0</v>
      </c>
      <c r="H14" s="19"/>
      <c r="I14" s="18">
        <v>0</v>
      </c>
      <c r="J14" s="18">
        <v>0</v>
      </c>
      <c r="K14" s="19"/>
      <c r="L14" s="18" t="s">
        <v>387</v>
      </c>
      <c r="M14" s="18"/>
      <c r="N14" s="19"/>
      <c r="O14" s="18"/>
      <c r="P14" s="18"/>
      <c r="Q14" s="19"/>
      <c r="R14" s="212"/>
    </row>
    <row r="15" spans="1:18" x14ac:dyDescent="0.3">
      <c r="B15" s="3" t="s">
        <v>180</v>
      </c>
      <c r="C15" s="2" t="s">
        <v>166</v>
      </c>
      <c r="D15" s="18">
        <v>0</v>
      </c>
      <c r="E15" s="18">
        <v>0</v>
      </c>
      <c r="F15" s="18">
        <v>4</v>
      </c>
      <c r="G15" s="18">
        <v>0</v>
      </c>
      <c r="H15" s="19"/>
      <c r="I15" s="18">
        <v>0</v>
      </c>
      <c r="J15" s="18">
        <v>0</v>
      </c>
      <c r="K15" s="19"/>
      <c r="L15" s="18"/>
      <c r="M15" s="18"/>
      <c r="N15" s="19"/>
      <c r="O15" s="18"/>
      <c r="P15" s="18"/>
      <c r="Q15" s="19"/>
      <c r="R15" s="212" t="s">
        <v>214</v>
      </c>
    </row>
    <row r="16" spans="1:18" x14ac:dyDescent="0.3">
      <c r="A16" s="453"/>
      <c r="B16" s="3" t="s">
        <v>175</v>
      </c>
      <c r="C16" s="2" t="s">
        <v>175</v>
      </c>
      <c r="D16" s="18">
        <v>0</v>
      </c>
      <c r="E16" s="18">
        <v>0</v>
      </c>
      <c r="F16" s="18">
        <v>0</v>
      </c>
      <c r="G16" s="18">
        <v>0</v>
      </c>
      <c r="H16" s="19"/>
      <c r="I16" s="18">
        <v>0</v>
      </c>
      <c r="J16" s="18">
        <v>0</v>
      </c>
      <c r="K16" s="19"/>
      <c r="L16" s="18"/>
      <c r="M16" s="18"/>
      <c r="N16" s="19"/>
      <c r="O16" s="18"/>
      <c r="P16" s="18"/>
      <c r="Q16" s="19"/>
      <c r="R16" s="212" t="s">
        <v>214</v>
      </c>
    </row>
    <row r="17" spans="1:19" s="127" customFormat="1" x14ac:dyDescent="0.3">
      <c r="A17" s="454"/>
      <c r="B17" s="168" t="s">
        <v>184</v>
      </c>
      <c r="C17" s="152" t="s">
        <v>70</v>
      </c>
      <c r="D17" s="169">
        <f>3+29</f>
        <v>32</v>
      </c>
      <c r="E17" s="169">
        <v>33</v>
      </c>
      <c r="F17" s="169">
        <v>21</v>
      </c>
      <c r="G17" s="169">
        <v>87</v>
      </c>
      <c r="H17" s="170"/>
      <c r="I17" s="169">
        <v>2</v>
      </c>
      <c r="J17" s="169">
        <v>0</v>
      </c>
      <c r="K17" s="170"/>
      <c r="L17" s="169" t="s">
        <v>388</v>
      </c>
      <c r="M17" s="169"/>
      <c r="N17" s="170"/>
      <c r="O17" s="169"/>
      <c r="P17" s="169"/>
      <c r="Q17" s="170"/>
      <c r="R17" s="171" t="s">
        <v>186</v>
      </c>
    </row>
    <row r="18" spans="1:19" s="127" customFormat="1" x14ac:dyDescent="0.3">
      <c r="B18" s="168"/>
      <c r="C18" s="152"/>
      <c r="D18" s="169"/>
      <c r="E18" s="169"/>
      <c r="F18" s="169"/>
      <c r="G18" s="169"/>
      <c r="H18" s="170"/>
      <c r="I18" s="169"/>
      <c r="J18" s="169"/>
      <c r="K18" s="170"/>
      <c r="L18" s="169"/>
      <c r="M18" s="169"/>
      <c r="N18" s="170"/>
      <c r="O18" s="169"/>
      <c r="P18" s="169"/>
      <c r="Q18" s="170"/>
      <c r="R18" s="171"/>
    </row>
    <row r="19" spans="1:19" x14ac:dyDescent="0.3">
      <c r="B19" s="3" t="s">
        <v>167</v>
      </c>
      <c r="C19" s="2" t="s">
        <v>167</v>
      </c>
      <c r="D19" s="18">
        <v>0</v>
      </c>
      <c r="E19" s="18">
        <v>0</v>
      </c>
      <c r="F19" s="18">
        <v>0</v>
      </c>
      <c r="G19" s="18">
        <v>0</v>
      </c>
      <c r="H19" s="19"/>
      <c r="I19" s="18">
        <v>0</v>
      </c>
      <c r="J19" s="18">
        <v>0</v>
      </c>
      <c r="K19" s="19"/>
      <c r="L19" s="18"/>
      <c r="M19" s="18"/>
      <c r="N19" s="19"/>
      <c r="O19" s="18"/>
      <c r="P19" s="18"/>
      <c r="Q19" s="19"/>
      <c r="R19" s="212" t="s">
        <v>215</v>
      </c>
    </row>
    <row r="20" spans="1:19" x14ac:dyDescent="0.3">
      <c r="B20" s="3" t="s">
        <v>168</v>
      </c>
      <c r="C20" s="2" t="s">
        <v>168</v>
      </c>
      <c r="D20" s="18">
        <v>0</v>
      </c>
      <c r="E20" s="18">
        <v>0</v>
      </c>
      <c r="F20" s="18">
        <v>0</v>
      </c>
      <c r="G20" s="18">
        <v>0</v>
      </c>
      <c r="H20" s="19"/>
      <c r="I20" s="18">
        <v>0</v>
      </c>
      <c r="J20" s="18">
        <v>0</v>
      </c>
      <c r="K20" s="19"/>
      <c r="L20" s="18"/>
      <c r="M20" s="18"/>
      <c r="N20" s="19"/>
      <c r="O20" s="18"/>
      <c r="P20" s="18"/>
      <c r="Q20" s="19"/>
      <c r="R20" s="212" t="s">
        <v>215</v>
      </c>
    </row>
    <row r="21" spans="1:19" x14ac:dyDescent="0.3">
      <c r="B21" s="3" t="s">
        <v>179</v>
      </c>
      <c r="C21" s="2" t="s">
        <v>179</v>
      </c>
      <c r="D21" s="18">
        <v>0</v>
      </c>
      <c r="E21" s="18">
        <v>0</v>
      </c>
      <c r="F21" s="18">
        <v>1</v>
      </c>
      <c r="G21" s="18">
        <v>0</v>
      </c>
      <c r="H21" s="19"/>
      <c r="I21" s="18">
        <v>0</v>
      </c>
      <c r="J21" s="18">
        <v>0</v>
      </c>
      <c r="K21" s="19"/>
      <c r="L21" s="18"/>
      <c r="M21" s="18"/>
      <c r="N21" s="19"/>
      <c r="O21" s="18"/>
      <c r="P21" s="18"/>
      <c r="Q21" s="19"/>
      <c r="R21" s="212" t="s">
        <v>215</v>
      </c>
    </row>
    <row r="22" spans="1:19" x14ac:dyDescent="0.3">
      <c r="B22" s="3" t="s">
        <v>169</v>
      </c>
      <c r="C22" s="2" t="s">
        <v>169</v>
      </c>
      <c r="D22" s="18">
        <v>0</v>
      </c>
      <c r="E22" s="18">
        <v>0</v>
      </c>
      <c r="F22" s="18">
        <v>5</v>
      </c>
      <c r="G22" s="18">
        <v>0</v>
      </c>
      <c r="H22" s="19"/>
      <c r="I22" s="18">
        <v>0</v>
      </c>
      <c r="J22" s="18">
        <v>0</v>
      </c>
      <c r="K22" s="19"/>
      <c r="L22" s="18"/>
      <c r="M22" s="18"/>
      <c r="N22" s="19"/>
      <c r="O22" s="18"/>
      <c r="P22" s="18"/>
      <c r="Q22" s="19"/>
      <c r="R22" s="212" t="s">
        <v>215</v>
      </c>
    </row>
    <row r="23" spans="1:19" x14ac:dyDescent="0.3">
      <c r="B23" s="3" t="s">
        <v>176</v>
      </c>
      <c r="C23" s="2" t="s">
        <v>176</v>
      </c>
      <c r="D23" s="18">
        <v>0</v>
      </c>
      <c r="E23" s="18">
        <v>0</v>
      </c>
      <c r="F23" s="18">
        <v>0</v>
      </c>
      <c r="G23" s="18">
        <v>0</v>
      </c>
      <c r="H23" s="19"/>
      <c r="I23" s="18">
        <v>0</v>
      </c>
      <c r="J23" s="18">
        <v>0</v>
      </c>
      <c r="K23" s="19"/>
      <c r="L23" s="18"/>
      <c r="M23" s="18"/>
      <c r="N23" s="19"/>
      <c r="O23" s="18"/>
      <c r="P23" s="18"/>
      <c r="Q23" s="19"/>
      <c r="R23" s="212" t="s">
        <v>215</v>
      </c>
    </row>
    <row r="24" spans="1:19" x14ac:dyDescent="0.3">
      <c r="B24" s="3" t="s">
        <v>177</v>
      </c>
      <c r="C24" s="2" t="s">
        <v>177</v>
      </c>
      <c r="D24" s="18">
        <v>0</v>
      </c>
      <c r="E24" s="18">
        <v>0</v>
      </c>
      <c r="F24" s="18">
        <v>0</v>
      </c>
      <c r="G24" s="18">
        <v>0</v>
      </c>
      <c r="H24" s="19"/>
      <c r="I24" s="18">
        <v>0</v>
      </c>
      <c r="J24" s="18">
        <v>0</v>
      </c>
      <c r="K24" s="19"/>
      <c r="L24" s="18"/>
      <c r="M24" s="18"/>
      <c r="N24" s="19"/>
      <c r="O24" s="18"/>
      <c r="P24" s="18"/>
      <c r="Q24" s="19"/>
      <c r="R24" s="212" t="s">
        <v>215</v>
      </c>
    </row>
    <row r="25" spans="1:19" s="127" customFormat="1" x14ac:dyDescent="0.3">
      <c r="B25" s="168" t="s">
        <v>185</v>
      </c>
      <c r="C25" s="152" t="s">
        <v>71</v>
      </c>
      <c r="D25" s="169">
        <v>0</v>
      </c>
      <c r="E25" s="169">
        <v>6</v>
      </c>
      <c r="F25" s="169">
        <v>14</v>
      </c>
      <c r="G25" s="169">
        <v>16</v>
      </c>
      <c r="H25" s="170"/>
      <c r="I25" s="169">
        <v>1</v>
      </c>
      <c r="J25" s="169">
        <v>0</v>
      </c>
      <c r="K25" s="170"/>
      <c r="L25" s="169"/>
      <c r="M25" s="169"/>
      <c r="N25" s="170"/>
      <c r="O25" s="169"/>
      <c r="P25" s="169"/>
      <c r="Q25" s="170"/>
      <c r="R25" s="171" t="s">
        <v>186</v>
      </c>
    </row>
    <row r="26" spans="1:19" s="127" customFormat="1" x14ac:dyDescent="0.3">
      <c r="B26" s="168"/>
      <c r="C26" s="152"/>
      <c r="D26" s="169"/>
      <c r="E26" s="169"/>
      <c r="F26" s="169"/>
      <c r="G26" s="169"/>
      <c r="H26" s="170"/>
      <c r="I26" s="169"/>
      <c r="J26" s="169"/>
      <c r="K26" s="170"/>
      <c r="L26" s="169"/>
      <c r="M26" s="169"/>
      <c r="N26" s="170"/>
      <c r="O26" s="169"/>
      <c r="P26" s="169"/>
      <c r="Q26" s="170"/>
      <c r="R26" s="171"/>
    </row>
    <row r="27" spans="1:19" s="127" customFormat="1" x14ac:dyDescent="0.3">
      <c r="B27" s="168"/>
      <c r="C27" s="152"/>
      <c r="D27" s="169"/>
      <c r="E27" s="169"/>
      <c r="F27" s="169"/>
      <c r="G27" s="169"/>
      <c r="H27" s="170"/>
      <c r="I27" s="169"/>
      <c r="J27" s="169"/>
      <c r="K27" s="170"/>
      <c r="L27" s="169"/>
      <c r="M27" s="169"/>
      <c r="N27" s="170"/>
      <c r="O27" s="169"/>
      <c r="P27" s="169"/>
      <c r="Q27" s="170"/>
      <c r="R27" s="171"/>
    </row>
    <row r="28" spans="1:19" x14ac:dyDescent="0.3">
      <c r="A28" s="453"/>
      <c r="B28" s="455" t="s">
        <v>178</v>
      </c>
      <c r="C28" s="456" t="s">
        <v>178</v>
      </c>
      <c r="D28" s="457">
        <f>6+2</f>
        <v>8</v>
      </c>
      <c r="E28" s="457">
        <v>0</v>
      </c>
      <c r="F28" s="457">
        <v>0</v>
      </c>
      <c r="G28" s="457">
        <v>0</v>
      </c>
      <c r="H28" s="458">
        <v>0</v>
      </c>
      <c r="I28" s="457">
        <v>-5</v>
      </c>
      <c r="J28" s="457">
        <v>8</v>
      </c>
      <c r="K28" s="458"/>
      <c r="L28" s="457"/>
      <c r="M28" s="457"/>
      <c r="N28" s="458"/>
      <c r="O28" s="457"/>
      <c r="P28" s="457"/>
      <c r="Q28" s="458"/>
      <c r="R28" s="459" t="s">
        <v>228</v>
      </c>
    </row>
    <row r="29" spans="1:19" x14ac:dyDescent="0.3">
      <c r="B29" s="460" t="s">
        <v>99</v>
      </c>
      <c r="C29" s="461"/>
      <c r="D29" s="462">
        <f>SUM(D6:D28)</f>
        <v>43</v>
      </c>
      <c r="E29" s="462">
        <f t="shared" ref="E29:G29" si="0">SUM(E6:E28)</f>
        <v>41</v>
      </c>
      <c r="F29" s="462">
        <f t="shared" si="0"/>
        <v>58</v>
      </c>
      <c r="G29" s="462">
        <f t="shared" si="0"/>
        <v>103</v>
      </c>
      <c r="H29" s="462"/>
      <c r="I29" s="462">
        <f>SUM(I6:I28)</f>
        <v>-2</v>
      </c>
      <c r="J29" s="462">
        <f>SUM(J6:J28)</f>
        <v>8</v>
      </c>
      <c r="K29" s="462"/>
      <c r="L29" s="463">
        <f>SUM(E29:G29)/3</f>
        <v>67.333333333333329</v>
      </c>
      <c r="M29" s="464">
        <f>(SUM(D29:G29)/45)</f>
        <v>5.4444444444444446</v>
      </c>
      <c r="N29" s="272"/>
      <c r="O29" s="463">
        <f>M29*1.5</f>
        <v>8.1666666666666679</v>
      </c>
      <c r="P29" s="463">
        <f>M29*2</f>
        <v>10.888888888888889</v>
      </c>
      <c r="Q29" s="272"/>
      <c r="R29" s="465">
        <f>P29-(I29+J29)</f>
        <v>4.8888888888888893</v>
      </c>
      <c r="S29" s="466" t="s">
        <v>389</v>
      </c>
    </row>
    <row r="33" spans="2:18" ht="14.4" customHeight="1" x14ac:dyDescent="0.3">
      <c r="B33" s="159" t="s">
        <v>223</v>
      </c>
      <c r="C33" s="160"/>
      <c r="D33" s="161" t="s">
        <v>54</v>
      </c>
      <c r="E33" s="162"/>
      <c r="F33" s="162"/>
      <c r="G33" s="163"/>
      <c r="H33" s="164"/>
      <c r="I33" s="843" t="s">
        <v>3</v>
      </c>
      <c r="J33" s="843" t="s">
        <v>57</v>
      </c>
      <c r="K33" s="166"/>
      <c r="L33" s="843" t="s">
        <v>1</v>
      </c>
      <c r="M33" s="843" t="s">
        <v>2</v>
      </c>
      <c r="N33" s="166"/>
      <c r="O33" s="843" t="s">
        <v>101</v>
      </c>
      <c r="P33" s="843" t="s">
        <v>102</v>
      </c>
      <c r="Q33" s="166"/>
      <c r="R33" s="843" t="s">
        <v>162</v>
      </c>
    </row>
    <row r="34" spans="2:18" x14ac:dyDescent="0.3">
      <c r="B34" s="66" t="s">
        <v>56</v>
      </c>
      <c r="C34" s="67" t="s">
        <v>55</v>
      </c>
      <c r="D34" s="68">
        <v>2024</v>
      </c>
      <c r="E34" s="68">
        <v>2023</v>
      </c>
      <c r="F34" s="68">
        <v>2022</v>
      </c>
      <c r="G34" s="68">
        <v>2021</v>
      </c>
      <c r="H34" s="165"/>
      <c r="I34" s="844"/>
      <c r="J34" s="844"/>
      <c r="K34" s="167"/>
      <c r="L34" s="844"/>
      <c r="M34" s="844"/>
      <c r="N34" s="167"/>
      <c r="O34" s="844"/>
      <c r="P34" s="844"/>
      <c r="Q34" s="167"/>
      <c r="R34" s="844"/>
    </row>
    <row r="35" spans="2:18" x14ac:dyDescent="0.3">
      <c r="B35" s="207" t="s">
        <v>216</v>
      </c>
      <c r="C35" s="208"/>
      <c r="D35" s="209">
        <v>2</v>
      </c>
      <c r="E35" s="209">
        <v>0</v>
      </c>
      <c r="F35" s="209">
        <v>0</v>
      </c>
      <c r="G35" s="209">
        <v>0</v>
      </c>
      <c r="H35" s="210"/>
      <c r="I35" s="209">
        <v>11</v>
      </c>
      <c r="J35" s="209"/>
      <c r="K35" s="210"/>
      <c r="L35" s="209"/>
      <c r="M35" s="209"/>
      <c r="N35" s="210"/>
      <c r="O35" s="209"/>
      <c r="P35" s="209"/>
      <c r="Q35" s="210"/>
      <c r="R35" s="211"/>
    </row>
    <row r="36" spans="2:18" s="127" customFormat="1" x14ac:dyDescent="0.3">
      <c r="B36" s="207"/>
      <c r="C36" s="208"/>
      <c r="D36" s="209"/>
      <c r="E36" s="209"/>
      <c r="F36" s="209"/>
      <c r="G36" s="209"/>
      <c r="H36" s="210"/>
      <c r="I36" s="209"/>
      <c r="J36" s="209"/>
      <c r="K36" s="210"/>
      <c r="L36" s="209"/>
      <c r="M36" s="209"/>
      <c r="N36" s="210"/>
      <c r="O36" s="209"/>
      <c r="P36" s="209"/>
      <c r="Q36" s="210"/>
      <c r="R36" s="211"/>
    </row>
    <row r="37" spans="2:18" s="127" customFormat="1" x14ac:dyDescent="0.3">
      <c r="B37" s="207" t="s">
        <v>217</v>
      </c>
      <c r="C37" s="208"/>
      <c r="D37" s="209">
        <v>0</v>
      </c>
      <c r="E37" s="209">
        <v>1</v>
      </c>
      <c r="F37" s="209">
        <v>0</v>
      </c>
      <c r="G37" s="209">
        <v>0</v>
      </c>
      <c r="H37" s="210"/>
      <c r="I37" s="209">
        <v>0</v>
      </c>
      <c r="J37" s="209">
        <v>0</v>
      </c>
      <c r="K37" s="210"/>
      <c r="L37" s="209"/>
      <c r="M37" s="209"/>
      <c r="N37" s="210"/>
      <c r="O37" s="209"/>
      <c r="P37" s="209"/>
      <c r="Q37" s="210"/>
      <c r="R37" s="211" t="s">
        <v>222</v>
      </c>
    </row>
    <row r="38" spans="2:18" x14ac:dyDescent="0.3">
      <c r="B38" s="207" t="s">
        <v>218</v>
      </c>
      <c r="C38" s="208"/>
      <c r="D38" s="209">
        <v>0</v>
      </c>
      <c r="E38" s="209">
        <v>0</v>
      </c>
      <c r="F38" s="209">
        <v>0</v>
      </c>
      <c r="G38" s="209">
        <v>0</v>
      </c>
      <c r="H38" s="210"/>
      <c r="I38" s="209">
        <v>0</v>
      </c>
      <c r="J38" s="209">
        <v>0</v>
      </c>
      <c r="K38" s="210"/>
      <c r="L38" s="209"/>
      <c r="M38" s="209"/>
      <c r="N38" s="210"/>
      <c r="O38" s="209"/>
      <c r="P38" s="209"/>
      <c r="Q38" s="210"/>
      <c r="R38" s="211" t="s">
        <v>222</v>
      </c>
    </row>
    <row r="39" spans="2:18" s="127" customFormat="1" x14ac:dyDescent="0.3">
      <c r="B39" s="207" t="s">
        <v>219</v>
      </c>
      <c r="C39" s="208"/>
      <c r="D39" s="209"/>
      <c r="E39" s="209"/>
      <c r="F39" s="209"/>
      <c r="G39" s="209"/>
      <c r="H39" s="210"/>
      <c r="I39" s="209">
        <v>26</v>
      </c>
      <c r="J39" s="209">
        <v>0</v>
      </c>
      <c r="K39" s="210"/>
      <c r="L39" s="209"/>
      <c r="M39" s="209"/>
      <c r="N39" s="210"/>
      <c r="O39" s="209"/>
      <c r="P39" s="209"/>
      <c r="Q39" s="210"/>
      <c r="R39" s="211"/>
    </row>
    <row r="40" spans="2:18" s="127" customFormat="1" x14ac:dyDescent="0.3">
      <c r="B40" s="207"/>
      <c r="C40" s="208"/>
      <c r="D40" s="209"/>
      <c r="E40" s="209"/>
      <c r="F40" s="209"/>
      <c r="G40" s="209"/>
      <c r="H40" s="210"/>
      <c r="I40" s="209"/>
      <c r="J40" s="209"/>
      <c r="K40" s="210"/>
      <c r="L40" s="209"/>
      <c r="M40" s="209"/>
      <c r="N40" s="210"/>
      <c r="O40" s="209"/>
      <c r="P40" s="209"/>
      <c r="Q40" s="210"/>
      <c r="R40" s="211"/>
    </row>
    <row r="41" spans="2:18" x14ac:dyDescent="0.3">
      <c r="B41" s="207" t="s">
        <v>220</v>
      </c>
      <c r="C41" s="208"/>
      <c r="D41" s="209"/>
      <c r="E41" s="209"/>
      <c r="F41" s="209"/>
      <c r="G41" s="209"/>
      <c r="H41" s="210"/>
      <c r="I41" s="209"/>
      <c r="J41" s="209"/>
      <c r="K41" s="210"/>
      <c r="L41" s="209"/>
      <c r="M41" s="209"/>
      <c r="N41" s="210"/>
      <c r="O41" s="209"/>
      <c r="P41" s="209"/>
      <c r="Q41" s="210"/>
      <c r="R41" s="211"/>
    </row>
    <row r="42" spans="2:18" x14ac:dyDescent="0.3">
      <c r="B42" s="207" t="s">
        <v>138</v>
      </c>
      <c r="C42" s="208"/>
      <c r="D42" s="209"/>
      <c r="E42" s="209"/>
      <c r="F42" s="209"/>
      <c r="G42" s="209"/>
      <c r="H42" s="210"/>
      <c r="I42" s="209">
        <v>19</v>
      </c>
      <c r="J42" s="209">
        <v>0</v>
      </c>
      <c r="K42" s="210"/>
      <c r="L42" s="209"/>
      <c r="M42" s="209"/>
      <c r="N42" s="210"/>
      <c r="O42" s="209"/>
      <c r="P42" s="209"/>
      <c r="Q42" s="210"/>
      <c r="R42" s="211"/>
    </row>
    <row r="43" spans="2:18" x14ac:dyDescent="0.3">
      <c r="B43" s="207"/>
      <c r="C43" s="208"/>
      <c r="D43" s="209"/>
      <c r="E43" s="209"/>
      <c r="F43" s="209"/>
      <c r="G43" s="209"/>
      <c r="H43" s="210"/>
      <c r="I43" s="209"/>
      <c r="J43" s="209"/>
      <c r="K43" s="210"/>
      <c r="L43" s="209"/>
      <c r="M43" s="209"/>
      <c r="N43" s="210"/>
      <c r="O43" s="209"/>
      <c r="P43" s="209"/>
      <c r="Q43" s="210"/>
      <c r="R43" s="211"/>
    </row>
    <row r="44" spans="2:18" x14ac:dyDescent="0.3">
      <c r="B44" s="1" t="s">
        <v>224</v>
      </c>
    </row>
  </sheetData>
  <mergeCells count="14">
    <mergeCell ref="P33:P34"/>
    <mergeCell ref="R33:R34"/>
    <mergeCell ref="I33:I34"/>
    <mergeCell ref="J33:J34"/>
    <mergeCell ref="L33:L34"/>
    <mergeCell ref="M33:M34"/>
    <mergeCell ref="O33:O34"/>
    <mergeCell ref="O4:O5"/>
    <mergeCell ref="I4:I5"/>
    <mergeCell ref="J4:J5"/>
    <mergeCell ref="P4:P5"/>
    <mergeCell ref="R4:R5"/>
    <mergeCell ref="L4:L5"/>
    <mergeCell ref="M4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BA31-BEE1-4400-B73B-33DECB210088}">
  <dimension ref="A2:V76"/>
  <sheetViews>
    <sheetView zoomScale="90" zoomScaleNormal="90" workbookViewId="0">
      <pane ySplit="6" topLeftCell="A24" activePane="bottomLeft" state="frozen"/>
      <selection pane="bottomLeft" activeCell="U34" sqref="U34"/>
    </sheetView>
  </sheetViews>
  <sheetFormatPr baseColWidth="10" defaultColWidth="11.44140625" defaultRowHeight="14.4" x14ac:dyDescent="0.3"/>
  <cols>
    <col min="1" max="1" width="4.33203125" style="479" customWidth="1"/>
    <col min="2" max="2" width="14.77734375" style="56" bestFit="1" customWidth="1"/>
    <col min="3" max="3" width="24.44140625" style="56" bestFit="1" customWidth="1"/>
    <col min="4" max="4" width="26.6640625" style="56" customWidth="1"/>
    <col min="5" max="9" width="7.88671875" style="1" customWidth="1"/>
    <col min="10" max="10" width="1.88671875" style="1" customWidth="1"/>
    <col min="11" max="11" width="10.21875" style="1" bestFit="1" customWidth="1"/>
    <col min="12" max="12" width="10.21875" style="1" customWidth="1"/>
    <col min="13" max="13" width="1.88671875" style="1" customWidth="1"/>
    <col min="14" max="15" width="11.33203125" style="1" customWidth="1"/>
    <col min="16" max="16" width="1.88671875" style="1" customWidth="1"/>
    <col min="17" max="18" width="16.44140625" style="1" customWidth="1"/>
    <col min="19" max="19" width="1.88671875" style="1" customWidth="1"/>
    <col min="20" max="20" width="12.33203125" style="1" bestFit="1" customWidth="1"/>
    <col min="21" max="21" width="19.44140625" style="1" customWidth="1"/>
    <col min="22" max="22" width="41.109375" style="1" bestFit="1" customWidth="1"/>
    <col min="23" max="16384" width="11.44140625" style="1"/>
  </cols>
  <sheetData>
    <row r="2" spans="1:21" x14ac:dyDescent="0.3">
      <c r="B2" s="56" t="s">
        <v>86</v>
      </c>
    </row>
    <row r="3" spans="1:21" x14ac:dyDescent="0.3">
      <c r="B3" s="56" t="s">
        <v>81</v>
      </c>
      <c r="C3" s="56" t="s">
        <v>144</v>
      </c>
    </row>
    <row r="4" spans="1:21" x14ac:dyDescent="0.3">
      <c r="N4" s="1" t="s">
        <v>25</v>
      </c>
      <c r="O4" s="1" t="s">
        <v>26</v>
      </c>
    </row>
    <row r="5" spans="1:21" ht="14.4" customHeight="1" x14ac:dyDescent="0.3">
      <c r="B5" s="845" t="s">
        <v>142</v>
      </c>
      <c r="C5" s="846"/>
      <c r="D5" s="846"/>
      <c r="E5" s="721" t="s">
        <v>54</v>
      </c>
      <c r="F5" s="722"/>
      <c r="G5" s="722"/>
      <c r="H5" s="722"/>
      <c r="I5" s="723"/>
      <c r="J5" s="712"/>
      <c r="K5" s="720" t="s">
        <v>3</v>
      </c>
      <c r="L5" s="720" t="s">
        <v>57</v>
      </c>
      <c r="M5" s="712"/>
      <c r="N5" s="720" t="s">
        <v>1</v>
      </c>
      <c r="O5" s="720" t="s">
        <v>2</v>
      </c>
      <c r="P5" s="712"/>
      <c r="Q5" s="710" t="s">
        <v>203</v>
      </c>
      <c r="R5" s="710" t="s">
        <v>204</v>
      </c>
      <c r="S5" s="712"/>
      <c r="T5" s="714" t="s">
        <v>35</v>
      </c>
      <c r="U5" s="716" t="s">
        <v>62</v>
      </c>
    </row>
    <row r="6" spans="1:21" x14ac:dyDescent="0.3">
      <c r="B6" s="103" t="s">
        <v>106</v>
      </c>
      <c r="C6" s="104" t="s">
        <v>56</v>
      </c>
      <c r="D6" s="105" t="s">
        <v>55</v>
      </c>
      <c r="E6" s="106">
        <v>2025</v>
      </c>
      <c r="F6" s="106">
        <v>2024</v>
      </c>
      <c r="G6" s="106">
        <v>2023</v>
      </c>
      <c r="H6" s="106">
        <v>2022</v>
      </c>
      <c r="I6" s="106">
        <v>2021</v>
      </c>
      <c r="J6" s="847"/>
      <c r="K6" s="848"/>
      <c r="L6" s="848"/>
      <c r="M6" s="847"/>
      <c r="N6" s="848"/>
      <c r="O6" s="848"/>
      <c r="P6" s="847"/>
      <c r="Q6" s="848"/>
      <c r="R6" s="848"/>
      <c r="S6" s="847"/>
      <c r="T6" s="849"/>
      <c r="U6" s="850"/>
    </row>
    <row r="7" spans="1:21" s="9" customFormat="1" x14ac:dyDescent="0.3">
      <c r="A7" s="480"/>
      <c r="B7" s="52"/>
      <c r="C7" s="91"/>
      <c r="D7" s="91"/>
      <c r="E7" s="42"/>
      <c r="F7" s="42"/>
      <c r="G7" s="42"/>
      <c r="H7" s="42"/>
      <c r="I7" s="42"/>
      <c r="J7" s="19"/>
      <c r="K7" s="18"/>
      <c r="L7" s="18"/>
      <c r="M7" s="19"/>
      <c r="N7" s="50"/>
      <c r="O7" s="49"/>
      <c r="P7" s="19"/>
      <c r="Q7" s="50"/>
      <c r="R7" s="50"/>
      <c r="S7" s="19"/>
      <c r="T7" s="51"/>
      <c r="U7" s="54"/>
    </row>
    <row r="8" spans="1:21" s="9" customFormat="1" x14ac:dyDescent="0.3">
      <c r="A8" s="480"/>
      <c r="B8" s="59"/>
      <c r="C8" s="90"/>
      <c r="D8" s="90"/>
      <c r="E8" s="18"/>
      <c r="F8" s="18"/>
      <c r="G8" s="18"/>
      <c r="H8" s="18"/>
      <c r="I8" s="18"/>
      <c r="J8" s="19"/>
      <c r="K8" s="18"/>
      <c r="L8" s="18"/>
      <c r="M8" s="19"/>
      <c r="N8" s="50"/>
      <c r="O8" s="49"/>
      <c r="P8" s="19"/>
      <c r="Q8" s="50"/>
      <c r="R8" s="50"/>
      <c r="S8" s="19"/>
      <c r="T8" s="51"/>
      <c r="U8" s="54"/>
    </row>
    <row r="9" spans="1:21" s="191" customFormat="1" ht="28.8" x14ac:dyDescent="0.3">
      <c r="A9" s="678"/>
      <c r="B9" s="200" t="s">
        <v>88</v>
      </c>
      <c r="C9" s="101" t="s">
        <v>207</v>
      </c>
      <c r="D9" s="101">
        <v>3336009</v>
      </c>
      <c r="E9" s="192"/>
      <c r="F9" s="192">
        <f>26+102</f>
        <v>128</v>
      </c>
      <c r="G9" s="192">
        <v>65</v>
      </c>
      <c r="H9" s="192">
        <v>122</v>
      </c>
      <c r="I9" s="192">
        <v>168</v>
      </c>
      <c r="J9" s="193"/>
      <c r="K9" s="194">
        <v>6</v>
      </c>
      <c r="L9" s="194">
        <v>0</v>
      </c>
      <c r="M9" s="193"/>
      <c r="N9" s="195">
        <f>SUM(G9:I9)/3</f>
        <v>118.33333333333333</v>
      </c>
      <c r="O9" s="196">
        <f>(SUM(F9:I9)/44)</f>
        <v>10.977272727272727</v>
      </c>
      <c r="P9" s="193"/>
      <c r="Q9" s="195">
        <f>O9*2</f>
        <v>21.954545454545453</v>
      </c>
      <c r="R9" s="195">
        <f>O9*2.5</f>
        <v>27.443181818181817</v>
      </c>
      <c r="S9" s="193"/>
      <c r="T9" s="197">
        <v>25</v>
      </c>
      <c r="U9" s="198"/>
    </row>
    <row r="10" spans="1:21" s="9" customFormat="1" x14ac:dyDescent="0.3">
      <c r="A10" s="480"/>
      <c r="B10" s="52"/>
      <c r="C10" s="91"/>
      <c r="D10" s="91"/>
      <c r="E10" s="42"/>
      <c r="F10" s="42"/>
      <c r="G10" s="42"/>
      <c r="H10" s="42"/>
      <c r="I10" s="42"/>
      <c r="J10" s="19"/>
      <c r="K10" s="18"/>
      <c r="L10" s="18"/>
      <c r="M10" s="19"/>
      <c r="N10" s="50"/>
      <c r="O10" s="49"/>
      <c r="P10" s="19"/>
      <c r="Q10" s="50"/>
      <c r="R10" s="50"/>
      <c r="S10" s="19"/>
      <c r="T10" s="51"/>
      <c r="U10" s="54"/>
    </row>
    <row r="11" spans="1:21" s="191" customFormat="1" ht="28.8" x14ac:dyDescent="0.3">
      <c r="A11" s="678"/>
      <c r="B11" s="200" t="s">
        <v>88</v>
      </c>
      <c r="C11" s="101" t="s">
        <v>206</v>
      </c>
      <c r="D11" s="201">
        <v>382612</v>
      </c>
      <c r="E11" s="192"/>
      <c r="F11" s="192">
        <f>1+8</f>
        <v>9</v>
      </c>
      <c r="G11" s="192">
        <v>24</v>
      </c>
      <c r="H11" s="192">
        <v>9</v>
      </c>
      <c r="I11" s="192">
        <v>14</v>
      </c>
      <c r="J11" s="193"/>
      <c r="K11" s="194">
        <v>0</v>
      </c>
      <c r="L11" s="194">
        <v>0</v>
      </c>
      <c r="M11" s="193"/>
      <c r="N11" s="195">
        <f>SUM(G11:I11)/3</f>
        <v>15.666666666666666</v>
      </c>
      <c r="O11" s="196">
        <f>(SUM(F11:I11)/40)</f>
        <v>1.4</v>
      </c>
      <c r="P11" s="193"/>
      <c r="Q11" s="195">
        <f>O11*2</f>
        <v>2.8</v>
      </c>
      <c r="R11" s="195">
        <f>O11*2.5</f>
        <v>3.5</v>
      </c>
      <c r="S11" s="193"/>
      <c r="T11" s="197">
        <f>R11-(K11+L11)</f>
        <v>3.5</v>
      </c>
      <c r="U11" s="198"/>
    </row>
    <row r="12" spans="1:21" s="9" customFormat="1" x14ac:dyDescent="0.3">
      <c r="A12" s="480"/>
      <c r="B12" s="52"/>
      <c r="C12" s="91"/>
      <c r="D12" s="91"/>
      <c r="E12" s="42"/>
      <c r="F12" s="42"/>
      <c r="G12" s="42"/>
      <c r="H12" s="42"/>
      <c r="I12" s="42"/>
      <c r="J12" s="19"/>
      <c r="K12" s="18"/>
      <c r="L12" s="18"/>
      <c r="M12" s="19"/>
      <c r="N12" s="50"/>
      <c r="O12" s="49"/>
      <c r="P12" s="19"/>
      <c r="Q12" s="50"/>
      <c r="R12" s="50"/>
      <c r="S12" s="19"/>
      <c r="T12" s="51"/>
      <c r="U12" s="54"/>
    </row>
    <row r="13" spans="1:21" s="191" customFormat="1" ht="28.8" x14ac:dyDescent="0.3">
      <c r="A13" s="678"/>
      <c r="B13" s="10" t="s">
        <v>88</v>
      </c>
      <c r="C13" s="101" t="s">
        <v>205</v>
      </c>
      <c r="D13" s="101">
        <v>149969</v>
      </c>
      <c r="E13" s="192"/>
      <c r="F13" s="192">
        <v>7</v>
      </c>
      <c r="G13" s="192">
        <v>35</v>
      </c>
      <c r="H13" s="192">
        <v>15</v>
      </c>
      <c r="I13" s="192">
        <v>18</v>
      </c>
      <c r="J13" s="193"/>
      <c r="K13" s="194">
        <v>3</v>
      </c>
      <c r="L13" s="194">
        <v>0</v>
      </c>
      <c r="M13" s="193"/>
      <c r="N13" s="195">
        <f>SUM(G13:I13)/3</f>
        <v>22.666666666666668</v>
      </c>
      <c r="O13" s="196">
        <f>(SUM(F13:I13)/40)</f>
        <v>1.875</v>
      </c>
      <c r="P13" s="193"/>
      <c r="Q13" s="195">
        <f>O13*2</f>
        <v>3.75</v>
      </c>
      <c r="R13" s="195">
        <f>O13*2.5</f>
        <v>4.6875</v>
      </c>
      <c r="S13" s="193"/>
      <c r="T13" s="197">
        <f>R13-(K13+L13)</f>
        <v>1.6875</v>
      </c>
      <c r="U13" s="198"/>
    </row>
    <row r="14" spans="1:21" s="191" customFormat="1" x14ac:dyDescent="0.3">
      <c r="A14" s="678"/>
      <c r="B14" s="10"/>
      <c r="C14" s="101"/>
      <c r="D14" s="101"/>
      <c r="E14" s="192"/>
      <c r="F14" s="192"/>
      <c r="G14" s="192"/>
      <c r="H14" s="192"/>
      <c r="I14" s="192"/>
      <c r="J14" s="193"/>
      <c r="K14" s="194"/>
      <c r="L14" s="194"/>
      <c r="M14" s="193"/>
      <c r="N14" s="195"/>
      <c r="O14" s="196"/>
      <c r="P14" s="193"/>
      <c r="Q14" s="195"/>
      <c r="R14" s="195"/>
      <c r="S14" s="193"/>
      <c r="T14" s="197"/>
      <c r="U14" s="198"/>
    </row>
    <row r="15" spans="1:21" s="191" customFormat="1" ht="28.8" x14ac:dyDescent="0.3">
      <c r="A15" s="678"/>
      <c r="B15" s="10" t="s">
        <v>88</v>
      </c>
      <c r="C15" s="101" t="s">
        <v>208</v>
      </c>
      <c r="D15" s="101">
        <v>6018524</v>
      </c>
      <c r="E15" s="192"/>
      <c r="F15" s="192">
        <f>1+8</f>
        <v>9</v>
      </c>
      <c r="G15" s="192">
        <v>31</v>
      </c>
      <c r="H15" s="192">
        <v>30</v>
      </c>
      <c r="I15" s="192">
        <v>14</v>
      </c>
      <c r="J15" s="193"/>
      <c r="K15" s="194">
        <v>21</v>
      </c>
      <c r="L15" s="194">
        <v>0</v>
      </c>
      <c r="M15" s="193"/>
      <c r="N15" s="195">
        <f>SUM(G15:I15)/3</f>
        <v>25</v>
      </c>
      <c r="O15" s="196">
        <f>(SUM(F15:I15)/40)</f>
        <v>2.1</v>
      </c>
      <c r="P15" s="193"/>
      <c r="Q15" s="195">
        <f>O15*2</f>
        <v>4.2</v>
      </c>
      <c r="R15" s="195">
        <f>O15*2.5</f>
        <v>5.25</v>
      </c>
      <c r="S15" s="193"/>
      <c r="T15" s="197">
        <f>R15-(K15+L15)</f>
        <v>-15.75</v>
      </c>
      <c r="U15" s="198"/>
    </row>
    <row r="16" spans="1:21" s="9" customFormat="1" x14ac:dyDescent="0.3">
      <c r="A16" s="480"/>
      <c r="B16" s="10"/>
      <c r="C16" s="101"/>
      <c r="D16" s="101"/>
      <c r="E16" s="2"/>
      <c r="F16" s="2"/>
      <c r="G16" s="2"/>
      <c r="H16" s="2"/>
      <c r="I16" s="2"/>
      <c r="J16" s="19"/>
      <c r="K16" s="18"/>
      <c r="L16" s="18"/>
      <c r="M16" s="19"/>
      <c r="N16" s="50"/>
      <c r="O16" s="49"/>
      <c r="P16" s="19"/>
      <c r="Q16" s="50"/>
      <c r="R16" s="50"/>
      <c r="S16" s="19"/>
      <c r="T16" s="51"/>
      <c r="U16" s="54"/>
    </row>
    <row r="17" spans="1:22" s="9" customFormat="1" x14ac:dyDescent="0.3">
      <c r="A17" s="480"/>
      <c r="B17" s="3" t="s">
        <v>88</v>
      </c>
      <c r="C17" s="102">
        <v>192217</v>
      </c>
      <c r="D17" s="102">
        <v>192217</v>
      </c>
      <c r="E17" s="2"/>
      <c r="F17" s="2"/>
      <c r="G17" s="2"/>
      <c r="H17" s="2"/>
      <c r="I17" s="2"/>
      <c r="J17" s="19"/>
      <c r="K17" s="18"/>
      <c r="L17" s="18"/>
      <c r="M17" s="19"/>
      <c r="N17" s="50"/>
      <c r="O17" s="49"/>
      <c r="P17" s="19"/>
      <c r="Q17" s="50"/>
      <c r="R17" s="50"/>
      <c r="S17" s="19"/>
      <c r="T17" s="51"/>
      <c r="U17" s="54"/>
    </row>
    <row r="18" spans="1:22" s="9" customFormat="1" x14ac:dyDescent="0.3">
      <c r="A18" s="480"/>
      <c r="B18" s="182"/>
      <c r="C18" s="183"/>
      <c r="D18" s="183"/>
      <c r="E18" s="184"/>
      <c r="F18" s="184"/>
      <c r="G18" s="184"/>
      <c r="H18" s="184"/>
      <c r="I18" s="184"/>
      <c r="J18" s="185"/>
      <c r="K18" s="186"/>
      <c r="L18" s="186"/>
      <c r="M18" s="185"/>
      <c r="N18" s="155"/>
      <c r="O18" s="156"/>
      <c r="P18" s="185"/>
      <c r="Q18" s="155"/>
      <c r="R18" s="155"/>
      <c r="S18" s="185"/>
      <c r="T18" s="187"/>
      <c r="U18" s="188"/>
    </row>
    <row r="19" spans="1:22" s="9" customFormat="1" ht="28.8" x14ac:dyDescent="0.3">
      <c r="A19" s="480"/>
      <c r="B19" s="130" t="s">
        <v>88</v>
      </c>
      <c r="C19" s="190" t="s">
        <v>201</v>
      </c>
      <c r="D19" s="189">
        <v>169684</v>
      </c>
      <c r="E19" s="129"/>
      <c r="F19" s="129"/>
      <c r="G19" s="129"/>
      <c r="H19" s="129">
        <v>24</v>
      </c>
      <c r="I19" s="129">
        <v>19</v>
      </c>
      <c r="J19" s="7"/>
      <c r="K19" s="6"/>
      <c r="L19" s="6"/>
      <c r="M19" s="7"/>
      <c r="N19" s="8"/>
      <c r="O19" s="47"/>
      <c r="P19" s="7"/>
      <c r="Q19" s="8"/>
      <c r="R19" s="8"/>
      <c r="S19" s="7"/>
      <c r="T19" s="48"/>
      <c r="U19" s="53"/>
    </row>
    <row r="20" spans="1:22" s="191" customFormat="1" ht="28.8" x14ac:dyDescent="0.3">
      <c r="A20" s="678"/>
      <c r="B20" s="199" t="s">
        <v>88</v>
      </c>
      <c r="C20" s="101" t="s">
        <v>202</v>
      </c>
      <c r="D20" s="102">
        <v>4976053</v>
      </c>
      <c r="E20" s="192">
        <v>1</v>
      </c>
      <c r="F20" s="192">
        <v>44</v>
      </c>
      <c r="G20" s="192">
        <v>33</v>
      </c>
      <c r="H20" s="192">
        <v>4</v>
      </c>
      <c r="I20" s="192">
        <v>0</v>
      </c>
      <c r="J20" s="193"/>
      <c r="K20" s="194">
        <v>4</v>
      </c>
      <c r="L20" s="194">
        <v>0</v>
      </c>
      <c r="M20" s="193"/>
      <c r="N20" s="195"/>
      <c r="O20" s="196"/>
      <c r="P20" s="193"/>
      <c r="Q20" s="195"/>
      <c r="R20" s="195"/>
      <c r="S20" s="193"/>
      <c r="T20" s="197"/>
      <c r="U20" s="198"/>
    </row>
    <row r="21" spans="1:22" s="100" customFormat="1" x14ac:dyDescent="0.3">
      <c r="A21" s="675"/>
      <c r="B21" s="316" t="s">
        <v>99</v>
      </c>
      <c r="C21" s="317"/>
      <c r="D21" s="317"/>
      <c r="E21" s="318">
        <f>SUM(E19:E20)</f>
        <v>1</v>
      </c>
      <c r="F21" s="318">
        <f>SUM(F19:F20)</f>
        <v>44</v>
      </c>
      <c r="G21" s="318">
        <f t="shared" ref="G21" si="0">SUM(G19:G20)</f>
        <v>33</v>
      </c>
      <c r="H21" s="318">
        <f>SUM(H19:H20)</f>
        <v>28</v>
      </c>
      <c r="I21" s="318">
        <f>SUM(I19:I20)</f>
        <v>19</v>
      </c>
      <c r="J21" s="110"/>
      <c r="K21" s="318">
        <f>K20+K19</f>
        <v>4</v>
      </c>
      <c r="L21" s="318">
        <f>L20+L19</f>
        <v>0</v>
      </c>
      <c r="M21" s="110"/>
      <c r="N21" s="319">
        <f>(F21+G21+H21)/3</f>
        <v>35</v>
      </c>
      <c r="O21" s="320">
        <f>(SUM(E21:H21))/37</f>
        <v>2.8648648648648649</v>
      </c>
      <c r="P21" s="110"/>
      <c r="Q21" s="319">
        <f>O21*2</f>
        <v>5.7297297297297298</v>
      </c>
      <c r="R21" s="319">
        <f>O21*2.5</f>
        <v>7.1621621621621623</v>
      </c>
      <c r="S21" s="110"/>
      <c r="T21" s="321">
        <f>R21-(K21+L21)</f>
        <v>3.1621621621621623</v>
      </c>
      <c r="U21" s="322"/>
      <c r="V21" s="119"/>
    </row>
    <row r="22" spans="1:22" s="9" customFormat="1" x14ac:dyDescent="0.3">
      <c r="A22" s="480"/>
      <c r="B22" s="52"/>
      <c r="C22" s="91"/>
      <c r="D22" s="91"/>
      <c r="E22" s="42"/>
      <c r="F22" s="42"/>
      <c r="G22" s="42"/>
      <c r="H22" s="42"/>
      <c r="I22" s="42"/>
      <c r="J22" s="19"/>
      <c r="K22" s="18"/>
      <c r="L22" s="18"/>
      <c r="M22" s="19"/>
      <c r="N22" s="50"/>
      <c r="O22" s="49"/>
      <c r="P22" s="19"/>
      <c r="Q22" s="50"/>
      <c r="R22" s="50"/>
      <c r="S22" s="19"/>
      <c r="T22" s="51"/>
      <c r="U22" s="54"/>
    </row>
    <row r="23" spans="1:22" s="9" customFormat="1" ht="28.8" x14ac:dyDescent="0.3">
      <c r="A23" s="480"/>
      <c r="B23" s="58" t="s">
        <v>88</v>
      </c>
      <c r="C23" s="89" t="s">
        <v>424</v>
      </c>
      <c r="D23" s="89" t="s">
        <v>145</v>
      </c>
      <c r="E23" s="6"/>
      <c r="F23" s="6">
        <v>0</v>
      </c>
      <c r="G23" s="6">
        <v>0</v>
      </c>
      <c r="H23" s="6">
        <v>16</v>
      </c>
      <c r="I23" s="6">
        <v>4</v>
      </c>
      <c r="J23" s="7"/>
      <c r="K23" s="6">
        <v>0</v>
      </c>
      <c r="L23" s="6">
        <v>0</v>
      </c>
      <c r="M23" s="7"/>
      <c r="N23" s="8"/>
      <c r="O23" s="47"/>
      <c r="P23" s="7"/>
      <c r="Q23" s="8"/>
      <c r="R23" s="8"/>
      <c r="S23" s="7"/>
      <c r="T23" s="48"/>
      <c r="U23" s="113"/>
    </row>
    <row r="24" spans="1:22" s="9" customFormat="1" ht="28.8" x14ac:dyDescent="0.3">
      <c r="A24" s="480"/>
      <c r="B24" s="52" t="s">
        <v>87</v>
      </c>
      <c r="C24" s="91" t="s">
        <v>425</v>
      </c>
      <c r="D24" s="91">
        <v>537542</v>
      </c>
      <c r="E24" s="42"/>
      <c r="F24" s="42">
        <f>1+24</f>
        <v>25</v>
      </c>
      <c r="G24" s="42">
        <v>22</v>
      </c>
      <c r="H24" s="42">
        <v>6</v>
      </c>
      <c r="I24" s="42">
        <v>16</v>
      </c>
      <c r="J24" s="43"/>
      <c r="K24" s="42">
        <v>5</v>
      </c>
      <c r="L24" s="42">
        <v>0</v>
      </c>
      <c r="M24" s="43"/>
      <c r="N24" s="74"/>
      <c r="O24" s="75"/>
      <c r="P24" s="43"/>
      <c r="Q24" s="74"/>
      <c r="R24" s="74"/>
      <c r="S24" s="43"/>
      <c r="T24" s="76"/>
      <c r="U24" s="114"/>
    </row>
    <row r="25" spans="1:22" s="100" customFormat="1" x14ac:dyDescent="0.3">
      <c r="A25" s="675"/>
      <c r="B25" s="316" t="s">
        <v>99</v>
      </c>
      <c r="C25" s="317"/>
      <c r="D25" s="317"/>
      <c r="E25" s="318"/>
      <c r="F25" s="318">
        <f>SUM(F23:F24)</f>
        <v>25</v>
      </c>
      <c r="G25" s="318">
        <f t="shared" ref="G25:I25" si="1">SUM(G23:G24)</f>
        <v>22</v>
      </c>
      <c r="H25" s="318">
        <f t="shared" si="1"/>
        <v>22</v>
      </c>
      <c r="I25" s="318">
        <f t="shared" si="1"/>
        <v>20</v>
      </c>
      <c r="J25" s="110"/>
      <c r="K25" s="318">
        <f>K24+K23</f>
        <v>5</v>
      </c>
      <c r="L25" s="318">
        <f>L24+L23</f>
        <v>0</v>
      </c>
      <c r="M25" s="110"/>
      <c r="N25" s="319">
        <f>(G25+H25+I25)/3</f>
        <v>21.333333333333332</v>
      </c>
      <c r="O25" s="320">
        <f>(SUM(F25:I25))/40</f>
        <v>2.2250000000000001</v>
      </c>
      <c r="P25" s="110"/>
      <c r="Q25" s="319">
        <f>O25*1.5</f>
        <v>3.3375000000000004</v>
      </c>
      <c r="R25" s="319">
        <f>O25*2</f>
        <v>4.45</v>
      </c>
      <c r="S25" s="110"/>
      <c r="T25" s="321">
        <f>R25-(K25+L25)</f>
        <v>-0.54999999999999982</v>
      </c>
      <c r="U25" s="322"/>
      <c r="V25" s="119"/>
    </row>
    <row r="26" spans="1:22" s="9" customFormat="1" x14ac:dyDescent="0.3">
      <c r="A26" s="480"/>
      <c r="B26" s="52"/>
      <c r="C26" s="91"/>
      <c r="D26" s="91"/>
      <c r="E26" s="42"/>
      <c r="F26" s="42"/>
      <c r="G26" s="42"/>
      <c r="H26" s="42"/>
      <c r="I26" s="42"/>
      <c r="J26" s="19"/>
      <c r="K26" s="18"/>
      <c r="L26" s="18"/>
      <c r="M26" s="19"/>
      <c r="N26" s="50"/>
      <c r="O26" s="49"/>
      <c r="P26" s="19"/>
      <c r="Q26" s="50"/>
      <c r="R26" s="50"/>
      <c r="S26" s="19"/>
      <c r="T26" s="51"/>
      <c r="U26" s="54"/>
    </row>
    <row r="27" spans="1:22" s="9" customFormat="1" ht="28.8" x14ac:dyDescent="0.3">
      <c r="A27" s="480"/>
      <c r="B27" s="52" t="s">
        <v>88</v>
      </c>
      <c r="C27" s="91">
        <v>192217</v>
      </c>
      <c r="D27" s="91" t="s">
        <v>426</v>
      </c>
      <c r="E27" s="42"/>
      <c r="F27" s="42">
        <v>0</v>
      </c>
      <c r="G27" s="42">
        <v>0</v>
      </c>
      <c r="H27" s="42">
        <v>0</v>
      </c>
      <c r="I27" s="42">
        <v>0</v>
      </c>
      <c r="J27" s="43"/>
      <c r="K27" s="42">
        <v>0</v>
      </c>
      <c r="L27" s="42">
        <v>0</v>
      </c>
      <c r="M27" s="43"/>
      <c r="N27" s="74">
        <v>0</v>
      </c>
      <c r="O27" s="75">
        <v>0</v>
      </c>
      <c r="P27" s="43"/>
      <c r="Q27" s="74">
        <v>0</v>
      </c>
      <c r="R27" s="74">
        <v>0</v>
      </c>
      <c r="S27" s="43"/>
      <c r="T27" s="76"/>
      <c r="U27" s="400"/>
    </row>
    <row r="28" spans="1:22" s="9" customFormat="1" x14ac:dyDescent="0.3">
      <c r="A28" s="480"/>
      <c r="B28" s="264" t="s">
        <v>87</v>
      </c>
      <c r="C28" s="214">
        <v>1343414</v>
      </c>
      <c r="D28" s="214">
        <v>1343414</v>
      </c>
      <c r="E28" s="32"/>
      <c r="F28" s="32">
        <v>3</v>
      </c>
      <c r="G28" s="32"/>
      <c r="H28" s="32"/>
      <c r="I28" s="32"/>
      <c r="J28" s="45"/>
      <c r="K28" s="44">
        <v>0</v>
      </c>
      <c r="L28" s="44">
        <v>0</v>
      </c>
      <c r="M28" s="45"/>
      <c r="N28" s="69"/>
      <c r="O28" s="120"/>
      <c r="P28" s="45"/>
      <c r="Q28" s="69"/>
      <c r="R28" s="69"/>
      <c r="S28" s="45"/>
      <c r="T28" s="121"/>
      <c r="U28" s="55"/>
    </row>
    <row r="29" spans="1:22" s="9" customFormat="1" x14ac:dyDescent="0.3">
      <c r="A29" s="480"/>
      <c r="B29" s="59"/>
      <c r="C29" s="90"/>
      <c r="D29" s="90"/>
      <c r="E29" s="18"/>
      <c r="F29" s="18"/>
      <c r="G29" s="18"/>
      <c r="H29" s="18"/>
      <c r="I29" s="18"/>
      <c r="J29" s="19"/>
      <c r="K29" s="18"/>
      <c r="L29" s="18"/>
      <c r="M29" s="19"/>
      <c r="N29" s="50"/>
      <c r="O29" s="49"/>
      <c r="P29" s="19"/>
      <c r="Q29" s="50"/>
      <c r="R29" s="50"/>
      <c r="S29" s="19"/>
      <c r="T29" s="51"/>
      <c r="U29" s="54"/>
    </row>
    <row r="30" spans="1:22" s="9" customFormat="1" x14ac:dyDescent="0.3">
      <c r="A30" s="480"/>
      <c r="B30" s="52" t="s">
        <v>88</v>
      </c>
      <c r="C30" s="91">
        <v>192228</v>
      </c>
      <c r="D30" s="91" t="s">
        <v>427</v>
      </c>
      <c r="E30" s="42"/>
      <c r="F30" s="42"/>
      <c r="G30" s="42"/>
      <c r="H30" s="42"/>
      <c r="I30" s="42"/>
      <c r="J30" s="19"/>
      <c r="K30" s="18"/>
      <c r="L30" s="18"/>
      <c r="M30" s="19"/>
      <c r="N30" s="50"/>
      <c r="O30" s="49"/>
      <c r="P30" s="19"/>
      <c r="Q30" s="50"/>
      <c r="R30" s="50"/>
      <c r="S30" s="19"/>
      <c r="T30" s="51"/>
      <c r="U30" s="54"/>
    </row>
    <row r="31" spans="1:22" s="9" customFormat="1" x14ac:dyDescent="0.3">
      <c r="A31" s="480"/>
      <c r="B31" s="52"/>
      <c r="C31" s="91"/>
      <c r="D31" s="91"/>
      <c r="E31" s="42"/>
      <c r="F31" s="42"/>
      <c r="G31" s="42"/>
      <c r="H31" s="42"/>
      <c r="I31" s="42"/>
      <c r="J31" s="19"/>
      <c r="K31" s="18"/>
      <c r="L31" s="18"/>
      <c r="M31" s="19"/>
      <c r="N31" s="50"/>
      <c r="O31" s="49"/>
      <c r="P31" s="19"/>
      <c r="Q31" s="50"/>
      <c r="R31" s="50"/>
      <c r="S31" s="19"/>
      <c r="T31" s="51"/>
      <c r="U31" s="54"/>
    </row>
    <row r="32" spans="1:22" s="9" customFormat="1" x14ac:dyDescent="0.3">
      <c r="A32" s="480"/>
      <c r="B32" s="52"/>
      <c r="C32" s="91"/>
      <c r="D32" s="91"/>
      <c r="E32" s="42"/>
      <c r="F32" s="42"/>
      <c r="G32" s="42"/>
      <c r="H32" s="42"/>
      <c r="I32" s="42"/>
      <c r="J32" s="19"/>
      <c r="K32" s="18"/>
      <c r="L32" s="18"/>
      <c r="M32" s="19"/>
      <c r="N32" s="50"/>
      <c r="O32" s="49"/>
      <c r="P32" s="19"/>
      <c r="Q32" s="50"/>
      <c r="R32" s="50"/>
      <c r="S32" s="19"/>
      <c r="T32" s="51"/>
      <c r="U32" s="54"/>
    </row>
    <row r="33" spans="1:22" s="9" customFormat="1" x14ac:dyDescent="0.3">
      <c r="A33" s="480"/>
      <c r="B33" s="58" t="s">
        <v>147</v>
      </c>
      <c r="C33" s="89" t="s">
        <v>519</v>
      </c>
      <c r="D33" s="327">
        <v>1874</v>
      </c>
      <c r="E33" s="6"/>
      <c r="F33" s="6">
        <v>35</v>
      </c>
      <c r="G33" s="6">
        <v>14</v>
      </c>
      <c r="H33" s="6">
        <v>18</v>
      </c>
      <c r="I33" s="6">
        <v>7</v>
      </c>
      <c r="J33" s="7"/>
      <c r="K33" s="6">
        <v>0</v>
      </c>
      <c r="L33" s="6">
        <v>0</v>
      </c>
      <c r="M33" s="7"/>
      <c r="N33" s="8"/>
      <c r="O33" s="47"/>
      <c r="P33" s="7"/>
      <c r="Q33" s="8"/>
      <c r="R33" s="8"/>
      <c r="S33" s="7"/>
      <c r="T33" s="48"/>
      <c r="U33" s="53" t="s">
        <v>522</v>
      </c>
    </row>
    <row r="34" spans="1:22" s="9" customFormat="1" x14ac:dyDescent="0.3">
      <c r="A34" s="480"/>
      <c r="B34" s="52">
        <v>304799</v>
      </c>
      <c r="C34" s="91" t="s">
        <v>518</v>
      </c>
      <c r="D34" s="206">
        <v>304799</v>
      </c>
      <c r="E34" s="42">
        <v>2</v>
      </c>
      <c r="F34" s="42">
        <v>1</v>
      </c>
      <c r="G34" s="42">
        <v>0</v>
      </c>
      <c r="H34" s="42">
        <v>0</v>
      </c>
      <c r="I34" s="42">
        <v>0</v>
      </c>
      <c r="J34" s="19"/>
      <c r="K34" s="18">
        <v>0</v>
      </c>
      <c r="L34" s="18">
        <v>0</v>
      </c>
      <c r="M34" s="19"/>
      <c r="N34" s="50"/>
      <c r="O34" s="49"/>
      <c r="P34" s="19"/>
      <c r="Q34" s="50" t="s">
        <v>520</v>
      </c>
      <c r="R34" s="50" t="s">
        <v>521</v>
      </c>
      <c r="S34" s="19"/>
      <c r="T34" s="51"/>
      <c r="U34" s="54" t="s">
        <v>523</v>
      </c>
    </row>
    <row r="35" spans="1:22" s="100" customFormat="1" x14ac:dyDescent="0.3">
      <c r="A35" s="675"/>
      <c r="B35" s="316" t="s">
        <v>99</v>
      </c>
      <c r="C35" s="317"/>
      <c r="D35" s="317"/>
      <c r="E35" s="318"/>
      <c r="F35" s="318">
        <f>SUM(F33:F34)</f>
        <v>36</v>
      </c>
      <c r="G35" s="318">
        <f>SUM(G33:G34)</f>
        <v>14</v>
      </c>
      <c r="H35" s="318">
        <f>SUM(H33:H34)</f>
        <v>18</v>
      </c>
      <c r="I35" s="318">
        <f>SUM(I33:I34)</f>
        <v>7</v>
      </c>
      <c r="J35" s="110"/>
      <c r="K35" s="318">
        <f>K34+K33</f>
        <v>0</v>
      </c>
      <c r="L35" s="318">
        <f>L34+L33</f>
        <v>0</v>
      </c>
      <c r="M35" s="110"/>
      <c r="N35" s="319">
        <f>SUM(F35:H35)/3</f>
        <v>22.666666666666668</v>
      </c>
      <c r="O35" s="320">
        <f>(SUM(E35:H35))/37</f>
        <v>1.8378378378378379</v>
      </c>
      <c r="P35" s="110"/>
      <c r="Q35" s="319">
        <f>O35*2</f>
        <v>3.6756756756756759</v>
      </c>
      <c r="R35" s="319">
        <f>O35*2.5</f>
        <v>4.5945945945945947</v>
      </c>
      <c r="S35" s="110"/>
      <c r="T35" s="321">
        <f>R35-(K35+L35)</f>
        <v>4.5945945945945947</v>
      </c>
      <c r="U35" s="322"/>
      <c r="V35" s="119"/>
    </row>
    <row r="36" spans="1:22" s="9" customFormat="1" x14ac:dyDescent="0.3">
      <c r="A36" s="480"/>
      <c r="B36" s="52"/>
      <c r="C36" s="91"/>
      <c r="D36" s="91"/>
      <c r="E36" s="42"/>
      <c r="F36" s="42"/>
      <c r="G36" s="42"/>
      <c r="H36" s="42"/>
      <c r="I36" s="42"/>
      <c r="J36" s="19"/>
      <c r="K36" s="18"/>
      <c r="L36" s="18"/>
      <c r="M36" s="19"/>
      <c r="N36" s="50"/>
      <c r="O36" s="49"/>
      <c r="P36" s="19"/>
      <c r="Q36" s="50"/>
      <c r="R36" s="50"/>
      <c r="S36" s="19"/>
      <c r="T36" s="51"/>
      <c r="U36" s="54"/>
    </row>
    <row r="37" spans="1:22" s="9" customFormat="1" x14ac:dyDescent="0.3">
      <c r="A37" s="480"/>
      <c r="B37" s="59"/>
      <c r="C37" s="91"/>
      <c r="D37" s="91" t="s">
        <v>380</v>
      </c>
      <c r="E37" s="18"/>
      <c r="F37" s="18">
        <v>2024</v>
      </c>
      <c r="G37" s="18">
        <v>2023</v>
      </c>
      <c r="H37" s="18">
        <v>2022</v>
      </c>
      <c r="I37" s="18">
        <v>2021</v>
      </c>
      <c r="J37" s="19"/>
      <c r="K37" s="18" t="s">
        <v>3</v>
      </c>
      <c r="L37" s="18" t="s">
        <v>381</v>
      </c>
      <c r="M37" s="19"/>
      <c r="N37" s="50" t="s">
        <v>382</v>
      </c>
      <c r="O37" s="49" t="s">
        <v>383</v>
      </c>
      <c r="P37" s="19"/>
      <c r="Q37" s="50"/>
      <c r="R37" s="50"/>
      <c r="S37" s="19"/>
      <c r="T37" s="51"/>
      <c r="U37" s="54"/>
    </row>
    <row r="38" spans="1:22" s="9" customFormat="1" x14ac:dyDescent="0.3">
      <c r="A38" s="480"/>
      <c r="B38" s="59" t="s">
        <v>346</v>
      </c>
      <c r="C38" s="91" t="s">
        <v>345</v>
      </c>
      <c r="D38" s="91">
        <v>108463</v>
      </c>
      <c r="E38" s="18"/>
      <c r="F38" s="18">
        <v>12</v>
      </c>
      <c r="G38" s="18">
        <v>0</v>
      </c>
      <c r="H38" s="18">
        <v>0</v>
      </c>
      <c r="I38" s="18">
        <v>0</v>
      </c>
      <c r="J38" s="19"/>
      <c r="K38" s="18">
        <v>0</v>
      </c>
      <c r="L38" s="18"/>
      <c r="M38" s="19"/>
      <c r="N38" s="50"/>
      <c r="O38" s="49"/>
      <c r="P38" s="19"/>
      <c r="Q38" s="50"/>
      <c r="R38" s="50"/>
      <c r="S38" s="19"/>
      <c r="T38" s="51"/>
      <c r="U38" s="54"/>
    </row>
    <row r="39" spans="1:22" s="9" customFormat="1" x14ac:dyDescent="0.3">
      <c r="A39" s="480"/>
      <c r="B39" s="59" t="s">
        <v>346</v>
      </c>
      <c r="C39" s="91" t="s">
        <v>379</v>
      </c>
      <c r="D39" s="91">
        <v>20553</v>
      </c>
      <c r="E39" s="18"/>
      <c r="F39" s="18">
        <v>0</v>
      </c>
      <c r="G39" s="18">
        <v>0</v>
      </c>
      <c r="H39" s="18">
        <v>3</v>
      </c>
      <c r="I39" s="18">
        <v>5</v>
      </c>
      <c r="J39" s="19"/>
      <c r="K39" s="18">
        <v>0</v>
      </c>
      <c r="L39" s="18"/>
      <c r="M39" s="19"/>
      <c r="N39" s="50"/>
      <c r="O39" s="49"/>
      <c r="P39" s="19"/>
      <c r="Q39" s="50"/>
      <c r="R39" s="50"/>
      <c r="S39" s="19"/>
      <c r="T39" s="51"/>
      <c r="U39" s="54"/>
    </row>
    <row r="40" spans="1:22" s="9" customFormat="1" x14ac:dyDescent="0.3">
      <c r="A40" s="480"/>
      <c r="B40" s="59" t="s">
        <v>334</v>
      </c>
      <c r="C40" s="91" t="s">
        <v>335</v>
      </c>
      <c r="D40" s="63" t="s">
        <v>335</v>
      </c>
      <c r="E40" s="18"/>
      <c r="F40" s="18">
        <v>0</v>
      </c>
      <c r="G40" s="18">
        <v>29</v>
      </c>
      <c r="H40" s="18">
        <v>0</v>
      </c>
      <c r="I40" s="18">
        <v>0</v>
      </c>
      <c r="J40" s="19"/>
      <c r="K40" s="18">
        <v>-1</v>
      </c>
      <c r="L40" s="18">
        <v>236</v>
      </c>
      <c r="M40" s="19"/>
      <c r="N40" s="50"/>
      <c r="O40" s="49"/>
      <c r="P40" s="19"/>
      <c r="Q40" s="50"/>
      <c r="R40" s="50"/>
      <c r="S40" s="19"/>
      <c r="T40" s="51"/>
      <c r="U40" s="54"/>
    </row>
    <row r="41" spans="1:22" s="100" customFormat="1" x14ac:dyDescent="0.3">
      <c r="A41" s="675"/>
      <c r="B41" s="316" t="s">
        <v>99</v>
      </c>
      <c r="C41" s="317"/>
      <c r="D41" s="317"/>
      <c r="E41" s="318"/>
      <c r="F41" s="318">
        <f>SUM(F39:F40)</f>
        <v>0</v>
      </c>
      <c r="G41" s="318">
        <f>SUM(G39:G40)</f>
        <v>29</v>
      </c>
      <c r="H41" s="318">
        <f>SUM(H39:H40)</f>
        <v>3</v>
      </c>
      <c r="I41" s="318">
        <f>SUM(I39:I40)</f>
        <v>5</v>
      </c>
      <c r="J41" s="110"/>
      <c r="K41" s="318">
        <f>K40+K39</f>
        <v>-1</v>
      </c>
      <c r="L41" s="318">
        <f>L40+L39</f>
        <v>236</v>
      </c>
      <c r="M41" s="110"/>
      <c r="N41" s="319">
        <f>(SUM(F41:I41)/3)</f>
        <v>12.333333333333334</v>
      </c>
      <c r="O41" s="320">
        <f>N41*3</f>
        <v>37</v>
      </c>
      <c r="P41" s="110"/>
      <c r="Q41" s="319"/>
      <c r="R41" s="319"/>
      <c r="S41" s="110"/>
      <c r="T41" s="321"/>
      <c r="U41" s="322"/>
      <c r="V41" s="119"/>
    </row>
    <row r="42" spans="1:22" s="9" customFormat="1" x14ac:dyDescent="0.3">
      <c r="A42" s="480"/>
      <c r="B42" s="59"/>
      <c r="C42" s="91"/>
      <c r="D42" s="63"/>
      <c r="E42" s="18"/>
      <c r="F42" s="18"/>
      <c r="G42" s="18"/>
      <c r="H42" s="18"/>
      <c r="I42" s="18"/>
      <c r="J42" s="19"/>
      <c r="K42" s="18"/>
      <c r="L42" s="18"/>
      <c r="M42" s="19"/>
      <c r="N42" s="50"/>
      <c r="O42" s="49"/>
      <c r="P42" s="19"/>
      <c r="Q42" s="50"/>
      <c r="R42" s="50"/>
      <c r="S42" s="19"/>
      <c r="T42" s="51"/>
      <c r="U42" s="54"/>
    </row>
    <row r="43" spans="1:22" s="9" customFormat="1" x14ac:dyDescent="0.3">
      <c r="A43" s="480"/>
      <c r="B43" s="52" t="s">
        <v>390</v>
      </c>
      <c r="C43" s="91">
        <v>6910951</v>
      </c>
      <c r="D43" s="63" t="s">
        <v>393</v>
      </c>
      <c r="E43" s="18"/>
      <c r="F43" s="18">
        <f>30+13</f>
        <v>43</v>
      </c>
      <c r="G43" s="18">
        <v>0</v>
      </c>
      <c r="H43" s="18">
        <v>5</v>
      </c>
      <c r="I43" s="18">
        <v>0</v>
      </c>
      <c r="J43" s="19"/>
      <c r="K43" s="18">
        <v>2</v>
      </c>
      <c r="L43" s="18">
        <v>0</v>
      </c>
      <c r="M43" s="19"/>
      <c r="N43" s="50"/>
      <c r="O43" s="49"/>
      <c r="P43" s="19"/>
      <c r="Q43" s="50"/>
      <c r="R43" s="50"/>
      <c r="S43" s="19"/>
      <c r="T43" s="51"/>
      <c r="U43" s="54"/>
      <c r="V43" s="9" t="s">
        <v>395</v>
      </c>
    </row>
    <row r="44" spans="1:22" s="9" customFormat="1" x14ac:dyDescent="0.3">
      <c r="A44" s="480"/>
      <c r="B44" s="52"/>
      <c r="C44" s="91"/>
      <c r="D44" s="63"/>
      <c r="E44" s="18"/>
      <c r="F44" s="18"/>
      <c r="G44" s="18"/>
      <c r="H44" s="18"/>
      <c r="I44" s="18"/>
      <c r="J44" s="19"/>
      <c r="K44" s="18"/>
      <c r="L44" s="18"/>
      <c r="M44" s="19"/>
      <c r="N44" s="50"/>
      <c r="O44" s="49"/>
      <c r="P44" s="19"/>
      <c r="Q44" s="50"/>
      <c r="R44" s="50"/>
      <c r="S44" s="19"/>
      <c r="T44" s="51"/>
      <c r="U44" s="54"/>
    </row>
    <row r="45" spans="1:22" s="9" customFormat="1" x14ac:dyDescent="0.3">
      <c r="A45" s="480"/>
      <c r="B45" s="52" t="s">
        <v>391</v>
      </c>
      <c r="C45" s="91">
        <v>18732</v>
      </c>
      <c r="D45" s="63" t="s">
        <v>394</v>
      </c>
      <c r="E45" s="18"/>
      <c r="F45" s="18">
        <v>0</v>
      </c>
      <c r="G45" s="18">
        <v>0</v>
      </c>
      <c r="H45" s="18">
        <v>0</v>
      </c>
      <c r="I45" s="18">
        <v>0</v>
      </c>
      <c r="J45" s="19"/>
      <c r="K45" s="18">
        <v>0</v>
      </c>
      <c r="L45" s="18">
        <v>0</v>
      </c>
      <c r="M45" s="19"/>
      <c r="N45" s="50"/>
      <c r="O45" s="49"/>
      <c r="P45" s="19"/>
      <c r="Q45" s="50"/>
      <c r="R45" s="50"/>
      <c r="S45" s="19"/>
      <c r="T45" s="51"/>
      <c r="U45" s="54"/>
    </row>
    <row r="46" spans="1:22" s="9" customFormat="1" x14ac:dyDescent="0.3">
      <c r="A46" s="480"/>
      <c r="B46" s="52" t="s">
        <v>392</v>
      </c>
      <c r="C46" s="91">
        <v>1045313</v>
      </c>
      <c r="D46" s="63" t="s">
        <v>394</v>
      </c>
      <c r="E46" s="18"/>
      <c r="F46" s="18">
        <v>0</v>
      </c>
      <c r="G46" s="18">
        <v>0</v>
      </c>
      <c r="H46" s="18">
        <v>0</v>
      </c>
      <c r="I46" s="18">
        <v>0</v>
      </c>
      <c r="J46" s="19"/>
      <c r="K46" s="18">
        <v>0</v>
      </c>
      <c r="L46" s="18">
        <v>0</v>
      </c>
      <c r="M46" s="19"/>
      <c r="N46" s="50"/>
      <c r="O46" s="49"/>
      <c r="P46" s="19"/>
      <c r="Q46" s="50"/>
      <c r="R46" s="50"/>
      <c r="S46" s="19"/>
      <c r="T46" s="51"/>
      <c r="U46" s="54"/>
    </row>
    <row r="47" spans="1:22" s="100" customFormat="1" x14ac:dyDescent="0.3">
      <c r="A47" s="675"/>
      <c r="B47" s="316" t="s">
        <v>99</v>
      </c>
      <c r="C47" s="317"/>
      <c r="D47" s="317"/>
      <c r="E47" s="318"/>
      <c r="F47" s="318">
        <f>SUM(F45:F46)</f>
        <v>0</v>
      </c>
      <c r="G47" s="318">
        <f>SUM(G45:G46)</f>
        <v>0</v>
      </c>
      <c r="H47" s="318">
        <f>SUM(H45:H46)</f>
        <v>0</v>
      </c>
      <c r="I47" s="318">
        <f>SUM(I45:I46)</f>
        <v>0</v>
      </c>
      <c r="J47" s="110"/>
      <c r="K47" s="318">
        <f>K46+K45</f>
        <v>0</v>
      </c>
      <c r="L47" s="318">
        <f>L46+L45</f>
        <v>0</v>
      </c>
      <c r="M47" s="110"/>
      <c r="N47" s="319">
        <f>(SUM(F47:I47)/3)</f>
        <v>0</v>
      </c>
      <c r="O47" s="320">
        <f>N47*3</f>
        <v>0</v>
      </c>
      <c r="P47" s="110"/>
      <c r="Q47" s="319"/>
      <c r="R47" s="319"/>
      <c r="S47" s="110"/>
      <c r="T47" s="321"/>
      <c r="U47" s="322"/>
      <c r="V47" s="119"/>
    </row>
    <row r="48" spans="1:22" s="9" customFormat="1" x14ac:dyDescent="0.3">
      <c r="A48" s="480"/>
      <c r="B48" s="52"/>
      <c r="C48" s="91"/>
      <c r="D48" s="91"/>
      <c r="E48" s="42"/>
      <c r="F48" s="42"/>
      <c r="G48" s="42"/>
      <c r="H48" s="42"/>
      <c r="I48" s="42"/>
      <c r="J48" s="19"/>
      <c r="K48" s="18"/>
      <c r="L48" s="18"/>
      <c r="M48" s="19"/>
      <c r="N48" s="50"/>
      <c r="O48" s="49"/>
      <c r="P48" s="19"/>
      <c r="Q48" s="50"/>
      <c r="R48" s="50"/>
      <c r="S48" s="19"/>
      <c r="T48" s="51"/>
      <c r="U48" s="54"/>
    </row>
    <row r="49" spans="1:22" s="9" customFormat="1" x14ac:dyDescent="0.3">
      <c r="A49" s="480"/>
      <c r="B49" s="52"/>
      <c r="C49" s="91"/>
      <c r="D49" s="91"/>
      <c r="E49" s="42"/>
      <c r="F49" s="42"/>
      <c r="G49" s="42"/>
      <c r="H49" s="42"/>
      <c r="I49" s="42"/>
      <c r="J49" s="19"/>
      <c r="K49" s="18"/>
      <c r="L49" s="18"/>
      <c r="M49" s="19"/>
      <c r="N49" s="50"/>
      <c r="O49" s="49"/>
      <c r="P49" s="19"/>
      <c r="Q49" s="50"/>
      <c r="R49" s="50"/>
      <c r="S49" s="19"/>
      <c r="T49" s="51"/>
      <c r="U49" s="54"/>
    </row>
    <row r="50" spans="1:22" s="9" customFormat="1" x14ac:dyDescent="0.3">
      <c r="A50" s="480"/>
      <c r="B50" s="52" t="s">
        <v>147</v>
      </c>
      <c r="C50" s="91" t="s">
        <v>293</v>
      </c>
      <c r="D50" s="91">
        <v>1874</v>
      </c>
      <c r="E50" s="42"/>
      <c r="F50" s="42">
        <f>13+3</f>
        <v>16</v>
      </c>
      <c r="G50" s="42">
        <v>14</v>
      </c>
      <c r="H50" s="42">
        <v>18</v>
      </c>
      <c r="I50" s="42">
        <v>7</v>
      </c>
      <c r="J50" s="43"/>
      <c r="K50" s="42">
        <v>-1</v>
      </c>
      <c r="L50" s="42">
        <v>0</v>
      </c>
      <c r="M50" s="43"/>
      <c r="N50" s="50">
        <f>(G50+H50+I50)/3</f>
        <v>13</v>
      </c>
      <c r="O50" s="49">
        <f>(SUM(F50:I50)/42)</f>
        <v>1.3095238095238095</v>
      </c>
      <c r="P50" s="19"/>
      <c r="Q50" s="50">
        <f>O50*1</f>
        <v>1.3095238095238095</v>
      </c>
      <c r="R50" s="50">
        <f>O50*1.5</f>
        <v>1.9642857142857144</v>
      </c>
      <c r="S50" s="19"/>
      <c r="T50" s="51">
        <v>3</v>
      </c>
      <c r="U50" s="54"/>
    </row>
    <row r="51" spans="1:22" s="9" customFormat="1" x14ac:dyDescent="0.3">
      <c r="A51" s="480"/>
      <c r="B51" s="323"/>
      <c r="C51" s="324"/>
      <c r="D51" s="324"/>
      <c r="E51" s="326"/>
      <c r="F51" s="326"/>
      <c r="G51" s="326"/>
      <c r="H51" s="326"/>
      <c r="I51" s="326"/>
      <c r="J51" s="185"/>
      <c r="K51" s="186"/>
      <c r="L51" s="186"/>
      <c r="M51" s="185"/>
      <c r="N51" s="155"/>
      <c r="O51" s="156"/>
      <c r="P51" s="185"/>
      <c r="Q51" s="155"/>
      <c r="R51" s="155"/>
      <c r="S51" s="185"/>
      <c r="T51" s="187"/>
      <c r="U51" s="188"/>
    </row>
    <row r="52" spans="1:22" s="9" customFormat="1" x14ac:dyDescent="0.3">
      <c r="A52" s="480"/>
      <c r="B52" s="58" t="s">
        <v>143</v>
      </c>
      <c r="C52" s="89">
        <v>5022889</v>
      </c>
      <c r="D52" s="89" t="s">
        <v>438</v>
      </c>
      <c r="E52" s="6"/>
      <c r="F52" s="6">
        <f>2+20+125</f>
        <v>147</v>
      </c>
      <c r="G52" s="6">
        <v>53</v>
      </c>
      <c r="H52" s="6"/>
      <c r="I52" s="6"/>
      <c r="J52" s="7"/>
      <c r="K52" s="6">
        <v>4</v>
      </c>
      <c r="L52" s="6">
        <v>0</v>
      </c>
      <c r="M52" s="7"/>
      <c r="N52" s="8">
        <f>O52*12</f>
        <v>171.42857142857144</v>
      </c>
      <c r="O52" s="47">
        <f>(SUM(F52:G52)/14)</f>
        <v>14.285714285714286</v>
      </c>
      <c r="P52" s="7"/>
      <c r="Q52" s="8">
        <f>O52*3</f>
        <v>42.857142857142861</v>
      </c>
      <c r="R52" s="8">
        <f>O52*3.5</f>
        <v>50</v>
      </c>
      <c r="S52" s="7"/>
      <c r="T52" s="48">
        <f t="shared" ref="T52" si="2">R52-(K52+L52)</f>
        <v>46</v>
      </c>
      <c r="U52" s="53"/>
    </row>
    <row r="53" spans="1:22" s="9" customFormat="1" x14ac:dyDescent="0.3">
      <c r="A53" s="480"/>
      <c r="B53" s="52" t="s">
        <v>143</v>
      </c>
      <c r="C53" s="91">
        <v>5022888</v>
      </c>
      <c r="D53" s="91" t="s">
        <v>439</v>
      </c>
      <c r="E53" s="42"/>
      <c r="F53" s="42">
        <v>0</v>
      </c>
      <c r="G53" s="42">
        <v>38</v>
      </c>
      <c r="H53" s="42">
        <v>40</v>
      </c>
      <c r="I53" s="42"/>
      <c r="J53" s="19"/>
      <c r="K53" s="18">
        <v>1</v>
      </c>
      <c r="L53" s="18"/>
      <c r="M53" s="19"/>
      <c r="N53" s="50"/>
      <c r="O53" s="49"/>
      <c r="P53" s="19"/>
      <c r="Q53" s="50"/>
      <c r="R53" s="50"/>
      <c r="S53" s="19"/>
      <c r="T53" s="51"/>
      <c r="U53" s="54"/>
    </row>
    <row r="54" spans="1:22" s="100" customFormat="1" x14ac:dyDescent="0.3">
      <c r="A54" s="675"/>
      <c r="B54" s="316" t="s">
        <v>99</v>
      </c>
      <c r="C54" s="317"/>
      <c r="D54" s="317"/>
      <c r="E54" s="318"/>
      <c r="F54" s="318">
        <f>SUM(F52:F53)</f>
        <v>147</v>
      </c>
      <c r="G54" s="318">
        <f>SUM(G52:G53)</f>
        <v>91</v>
      </c>
      <c r="H54" s="318">
        <f>SUM(H52:H53)</f>
        <v>40</v>
      </c>
      <c r="I54" s="318">
        <f>SUM(I52:I53)</f>
        <v>0</v>
      </c>
      <c r="J54" s="110"/>
      <c r="K54" s="318">
        <f>K53+K52</f>
        <v>5</v>
      </c>
      <c r="L54" s="318">
        <f>L53+L52</f>
        <v>0</v>
      </c>
      <c r="M54" s="110"/>
      <c r="N54" s="319">
        <f>(G54+H54+I54)/2</f>
        <v>65.5</v>
      </c>
      <c r="O54" s="320">
        <f>(SUM(F54:I54))/35</f>
        <v>7.9428571428571431</v>
      </c>
      <c r="P54" s="110"/>
      <c r="Q54" s="319">
        <f>O54*3</f>
        <v>23.828571428571429</v>
      </c>
      <c r="R54" s="319">
        <f>O54*4</f>
        <v>31.771428571428572</v>
      </c>
      <c r="S54" s="110"/>
      <c r="T54" s="321">
        <f>R54-(K54+L54)</f>
        <v>26.771428571428572</v>
      </c>
      <c r="U54" s="322">
        <v>96</v>
      </c>
      <c r="V54" s="119"/>
    </row>
    <row r="55" spans="1:22" s="9" customFormat="1" x14ac:dyDescent="0.3">
      <c r="A55" s="480"/>
      <c r="B55" s="323"/>
      <c r="C55" s="324"/>
      <c r="D55" s="325"/>
      <c r="E55" s="326"/>
      <c r="F55" s="326"/>
      <c r="G55" s="326"/>
      <c r="H55" s="326"/>
      <c r="I55" s="326"/>
      <c r="J55" s="185"/>
      <c r="K55" s="186"/>
      <c r="L55" s="186"/>
      <c r="M55" s="185"/>
      <c r="N55" s="155"/>
      <c r="O55" s="156"/>
      <c r="P55" s="185"/>
      <c r="Q55" s="155"/>
      <c r="R55" s="155"/>
      <c r="S55" s="185"/>
      <c r="T55" s="187"/>
      <c r="U55" s="188"/>
    </row>
    <row r="56" spans="1:22" s="9" customFormat="1" x14ac:dyDescent="0.3">
      <c r="A56" s="480"/>
      <c r="B56" s="58" t="s">
        <v>276</v>
      </c>
      <c r="C56" s="89" t="s">
        <v>229</v>
      </c>
      <c r="D56" s="327">
        <v>4298993</v>
      </c>
      <c r="E56" s="6"/>
      <c r="F56" s="6">
        <v>5</v>
      </c>
      <c r="G56" s="6">
        <v>48</v>
      </c>
      <c r="H56" s="6">
        <v>237</v>
      </c>
      <c r="I56" s="6">
        <v>0</v>
      </c>
      <c r="J56" s="7"/>
      <c r="K56" s="6">
        <v>5</v>
      </c>
      <c r="L56" s="6">
        <v>0</v>
      </c>
      <c r="M56" s="7"/>
      <c r="N56" s="8"/>
      <c r="O56" s="47"/>
      <c r="P56" s="7"/>
      <c r="Q56" s="8"/>
      <c r="R56" s="8"/>
      <c r="S56" s="7"/>
      <c r="T56" s="48"/>
      <c r="U56" s="53"/>
      <c r="V56" s="9" t="s">
        <v>281</v>
      </c>
    </row>
    <row r="57" spans="1:22" s="9" customFormat="1" x14ac:dyDescent="0.3">
      <c r="A57" s="480"/>
      <c r="B57" s="52" t="s">
        <v>277</v>
      </c>
      <c r="C57" s="91" t="s">
        <v>275</v>
      </c>
      <c r="D57" s="206">
        <v>999075</v>
      </c>
      <c r="E57" s="42"/>
      <c r="F57" s="42">
        <v>180</v>
      </c>
      <c r="G57" s="42">
        <v>192</v>
      </c>
      <c r="H57" s="42">
        <v>60</v>
      </c>
      <c r="I57" s="42">
        <v>0</v>
      </c>
      <c r="J57" s="19"/>
      <c r="K57" s="18">
        <v>9</v>
      </c>
      <c r="L57" s="18">
        <v>0</v>
      </c>
      <c r="M57" s="19"/>
      <c r="N57" s="50"/>
      <c r="O57" s="49"/>
      <c r="P57" s="19"/>
      <c r="Q57" s="50" t="s">
        <v>278</v>
      </c>
      <c r="R57" s="50" t="s">
        <v>279</v>
      </c>
      <c r="S57" s="19"/>
      <c r="T57" s="51"/>
      <c r="U57" s="54" t="s">
        <v>230</v>
      </c>
      <c r="V57" s="9" t="s">
        <v>280</v>
      </c>
    </row>
    <row r="58" spans="1:22" s="100" customFormat="1" x14ac:dyDescent="0.3">
      <c r="A58" s="675"/>
      <c r="B58" s="316" t="s">
        <v>99</v>
      </c>
      <c r="C58" s="317"/>
      <c r="D58" s="317"/>
      <c r="E58" s="318"/>
      <c r="F58" s="318">
        <f>SUM(F56:F57)</f>
        <v>185</v>
      </c>
      <c r="G58" s="318">
        <f>SUM(G56:G57)</f>
        <v>240</v>
      </c>
      <c r="H58" s="318">
        <f>SUM(H56:H57)</f>
        <v>297</v>
      </c>
      <c r="I58" s="318">
        <f>SUM(I56:I57)</f>
        <v>0</v>
      </c>
      <c r="J58" s="110"/>
      <c r="K58" s="318">
        <f>K57+K56</f>
        <v>14</v>
      </c>
      <c r="L58" s="318">
        <f>L57+L56</f>
        <v>0</v>
      </c>
      <c r="M58" s="110"/>
      <c r="N58" s="319">
        <f>(G58+H58+I58)/2</f>
        <v>268.5</v>
      </c>
      <c r="O58" s="320">
        <f>(SUM(F58:I58))/30</f>
        <v>24.066666666666666</v>
      </c>
      <c r="P58" s="110"/>
      <c r="Q58" s="319">
        <f>O58*3</f>
        <v>72.2</v>
      </c>
      <c r="R58" s="319">
        <f>O58*4</f>
        <v>96.266666666666666</v>
      </c>
      <c r="S58" s="110"/>
      <c r="T58" s="321">
        <f>R58-(K58+L58)</f>
        <v>82.266666666666666</v>
      </c>
      <c r="U58" s="322">
        <v>96</v>
      </c>
      <c r="V58" s="119" t="s">
        <v>282</v>
      </c>
    </row>
    <row r="59" spans="1:22" s="9" customFormat="1" x14ac:dyDescent="0.3">
      <c r="A59" s="480"/>
      <c r="B59" s="52"/>
      <c r="C59" s="91"/>
      <c r="D59" s="91"/>
      <c r="E59" s="42"/>
      <c r="F59" s="42"/>
      <c r="G59" s="42"/>
      <c r="H59" s="42"/>
      <c r="I59" s="42"/>
      <c r="J59" s="19"/>
      <c r="K59" s="18"/>
      <c r="L59" s="18"/>
      <c r="M59" s="19"/>
      <c r="N59" s="50"/>
      <c r="O59" s="49"/>
      <c r="P59" s="19"/>
      <c r="Q59" s="50"/>
      <c r="R59" s="50"/>
      <c r="S59" s="19"/>
      <c r="T59" s="51"/>
      <c r="U59" s="54"/>
    </row>
    <row r="60" spans="1:22" s="9" customFormat="1" x14ac:dyDescent="0.3">
      <c r="A60" s="480"/>
      <c r="B60" s="59"/>
      <c r="C60" s="91"/>
      <c r="D60" s="91" t="s">
        <v>380</v>
      </c>
      <c r="E60" s="18"/>
      <c r="F60" s="18">
        <v>2024</v>
      </c>
      <c r="G60" s="18">
        <v>2023</v>
      </c>
      <c r="H60" s="18">
        <v>2022</v>
      </c>
      <c r="I60" s="18">
        <v>2021</v>
      </c>
      <c r="J60" s="19"/>
      <c r="K60" s="18" t="s">
        <v>3</v>
      </c>
      <c r="L60" s="18" t="s">
        <v>381</v>
      </c>
      <c r="M60" s="19"/>
      <c r="N60" s="50" t="s">
        <v>382</v>
      </c>
      <c r="O60" s="49" t="s">
        <v>383</v>
      </c>
      <c r="P60" s="19"/>
      <c r="Q60" s="50"/>
      <c r="R60" s="50"/>
      <c r="S60" s="19"/>
      <c r="T60" s="51"/>
      <c r="U60" s="54"/>
    </row>
    <row r="61" spans="1:22" s="9" customFormat="1" x14ac:dyDescent="0.3">
      <c r="A61" s="480"/>
      <c r="B61" s="59" t="s">
        <v>346</v>
      </c>
      <c r="C61" s="91" t="s">
        <v>345</v>
      </c>
      <c r="D61" s="91">
        <v>108463</v>
      </c>
      <c r="E61" s="18"/>
      <c r="F61" s="18">
        <v>12</v>
      </c>
      <c r="G61" s="18">
        <v>0</v>
      </c>
      <c r="H61" s="18">
        <v>0</v>
      </c>
      <c r="I61" s="18">
        <v>0</v>
      </c>
      <c r="J61" s="19"/>
      <c r="K61" s="18">
        <v>0</v>
      </c>
      <c r="L61" s="18"/>
      <c r="M61" s="19"/>
      <c r="N61" s="50"/>
      <c r="O61" s="49"/>
      <c r="P61" s="19"/>
      <c r="Q61" s="50"/>
      <c r="R61" s="50"/>
      <c r="S61" s="19"/>
      <c r="T61" s="51"/>
      <c r="U61" s="54"/>
    </row>
    <row r="62" spans="1:22" s="9" customFormat="1" x14ac:dyDescent="0.3">
      <c r="A62" s="480"/>
      <c r="B62" s="59" t="s">
        <v>346</v>
      </c>
      <c r="C62" s="91" t="s">
        <v>379</v>
      </c>
      <c r="D62" s="91">
        <v>20553</v>
      </c>
      <c r="E62" s="18"/>
      <c r="F62" s="18">
        <v>0</v>
      </c>
      <c r="G62" s="18">
        <v>0</v>
      </c>
      <c r="H62" s="18">
        <v>3</v>
      </c>
      <c r="I62" s="18">
        <v>5</v>
      </c>
      <c r="J62" s="19"/>
      <c r="K62" s="18">
        <v>0</v>
      </c>
      <c r="L62" s="18"/>
      <c r="M62" s="19"/>
      <c r="N62" s="50"/>
      <c r="O62" s="49"/>
      <c r="P62" s="19"/>
      <c r="Q62" s="50"/>
      <c r="R62" s="50"/>
      <c r="S62" s="19"/>
      <c r="T62" s="51"/>
      <c r="U62" s="54"/>
    </row>
    <row r="63" spans="1:22" s="9" customFormat="1" x14ac:dyDescent="0.3">
      <c r="A63" s="480"/>
      <c r="B63" s="59" t="s">
        <v>334</v>
      </c>
      <c r="C63" s="91" t="s">
        <v>335</v>
      </c>
      <c r="D63" s="63" t="s">
        <v>335</v>
      </c>
      <c r="E63" s="18"/>
      <c r="F63" s="18">
        <v>0</v>
      </c>
      <c r="G63" s="18">
        <v>29</v>
      </c>
      <c r="H63" s="18">
        <v>0</v>
      </c>
      <c r="I63" s="18">
        <v>0</v>
      </c>
      <c r="J63" s="19"/>
      <c r="K63" s="18">
        <v>-1</v>
      </c>
      <c r="L63" s="18">
        <v>236</v>
      </c>
      <c r="M63" s="19"/>
      <c r="N63" s="50"/>
      <c r="O63" s="49"/>
      <c r="P63" s="19"/>
      <c r="Q63" s="50"/>
      <c r="R63" s="50"/>
      <c r="S63" s="19"/>
      <c r="T63" s="51"/>
      <c r="U63" s="54"/>
    </row>
    <row r="64" spans="1:22" s="100" customFormat="1" x14ac:dyDescent="0.3">
      <c r="A64" s="675"/>
      <c r="B64" s="316" t="s">
        <v>99</v>
      </c>
      <c r="C64" s="317"/>
      <c r="D64" s="317"/>
      <c r="E64" s="318"/>
      <c r="F64" s="318">
        <f>SUM(F62:F63)</f>
        <v>0</v>
      </c>
      <c r="G64" s="318">
        <f>SUM(G62:G63)</f>
        <v>29</v>
      </c>
      <c r="H64" s="318">
        <f>SUM(H62:H63)</f>
        <v>3</v>
      </c>
      <c r="I64" s="318">
        <f>SUM(I62:I63)</f>
        <v>5</v>
      </c>
      <c r="J64" s="110"/>
      <c r="K64" s="318">
        <f>K63+K62</f>
        <v>-1</v>
      </c>
      <c r="L64" s="318">
        <f>L63+L62</f>
        <v>236</v>
      </c>
      <c r="M64" s="110"/>
      <c r="N64" s="319">
        <f>(SUM(F64:I64)/3)</f>
        <v>12.333333333333334</v>
      </c>
      <c r="O64" s="320">
        <f>N64*3</f>
        <v>37</v>
      </c>
      <c r="P64" s="110"/>
      <c r="Q64" s="319"/>
      <c r="R64" s="319"/>
      <c r="S64" s="110"/>
      <c r="T64" s="321"/>
      <c r="U64" s="322"/>
      <c r="V64" s="119"/>
    </row>
    <row r="65" spans="1:22" s="9" customFormat="1" x14ac:dyDescent="0.3">
      <c r="A65" s="480"/>
      <c r="B65" s="59"/>
      <c r="C65" s="91"/>
      <c r="D65" s="63"/>
      <c r="E65" s="18"/>
      <c r="F65" s="18"/>
      <c r="G65" s="18"/>
      <c r="H65" s="18"/>
      <c r="I65" s="18"/>
      <c r="J65" s="19"/>
      <c r="K65" s="18"/>
      <c r="L65" s="18"/>
      <c r="M65" s="19"/>
      <c r="N65" s="50"/>
      <c r="O65" s="49"/>
      <c r="P65" s="19"/>
      <c r="Q65" s="50"/>
      <c r="R65" s="50"/>
      <c r="S65" s="19"/>
      <c r="T65" s="51"/>
      <c r="U65" s="54"/>
    </row>
    <row r="66" spans="1:22" s="9" customFormat="1" x14ac:dyDescent="0.3">
      <c r="A66" s="480"/>
      <c r="B66" s="59"/>
      <c r="C66" s="91" t="s">
        <v>512</v>
      </c>
      <c r="D66" s="63"/>
      <c r="E66" s="18"/>
      <c r="F66" s="18"/>
      <c r="G66" s="18"/>
      <c r="H66" s="18"/>
      <c r="I66" s="18"/>
      <c r="J66" s="19"/>
      <c r="K66" s="18"/>
      <c r="L66" s="18"/>
      <c r="M66" s="19"/>
      <c r="N66" s="50"/>
      <c r="O66" s="49"/>
      <c r="P66" s="19"/>
      <c r="Q66" s="50"/>
      <c r="R66" s="50"/>
      <c r="S66" s="19"/>
      <c r="T66" s="51"/>
      <c r="U66" s="54"/>
    </row>
    <row r="67" spans="1:22" s="9" customFormat="1" x14ac:dyDescent="0.3">
      <c r="A67" s="480"/>
      <c r="B67" s="59"/>
      <c r="C67" s="91" t="s">
        <v>513</v>
      </c>
      <c r="D67" s="63">
        <v>97039</v>
      </c>
      <c r="E67" s="18">
        <v>2</v>
      </c>
      <c r="F67" s="18">
        <v>35</v>
      </c>
      <c r="G67" s="18"/>
      <c r="H67" s="18">
        <v>4</v>
      </c>
      <c r="I67" s="18"/>
      <c r="J67" s="19"/>
      <c r="K67" s="18">
        <v>1</v>
      </c>
      <c r="L67" s="18">
        <v>0</v>
      </c>
      <c r="M67" s="19"/>
      <c r="N67" s="50"/>
      <c r="O67" s="49"/>
      <c r="P67" s="19"/>
      <c r="Q67" s="50"/>
      <c r="R67" s="50"/>
      <c r="S67" s="19"/>
      <c r="T67" s="51"/>
      <c r="U67" s="54"/>
    </row>
    <row r="68" spans="1:22" s="100" customFormat="1" x14ac:dyDescent="0.3">
      <c r="A68" s="675"/>
      <c r="B68" s="316" t="s">
        <v>99</v>
      </c>
      <c r="C68" s="317"/>
      <c r="D68" s="317"/>
      <c r="E68" s="318"/>
      <c r="F68" s="318">
        <f>SUM(F66:F67)</f>
        <v>35</v>
      </c>
      <c r="G68" s="318">
        <f>SUM(G66:G67)</f>
        <v>0</v>
      </c>
      <c r="H68" s="318">
        <f>SUM(H66:H67)</f>
        <v>4</v>
      </c>
      <c r="I68" s="318">
        <f>SUM(I66:I67)</f>
        <v>0</v>
      </c>
      <c r="J68" s="110"/>
      <c r="K68" s="318">
        <f>K67+K66</f>
        <v>1</v>
      </c>
      <c r="L68" s="318">
        <f>L67+L66</f>
        <v>0</v>
      </c>
      <c r="M68" s="110"/>
      <c r="N68" s="319">
        <f>(SUM(F68:H68)/3)</f>
        <v>13</v>
      </c>
      <c r="O68" s="320">
        <f>N68*3</f>
        <v>39</v>
      </c>
      <c r="P68" s="110"/>
      <c r="Q68" s="319"/>
      <c r="R68" s="319"/>
      <c r="S68" s="110"/>
      <c r="T68" s="321"/>
      <c r="U68" s="322"/>
      <c r="V68" s="119"/>
    </row>
    <row r="69" spans="1:22" s="9" customFormat="1" x14ac:dyDescent="0.3">
      <c r="A69" s="480"/>
      <c r="B69" s="59"/>
      <c r="C69" s="91"/>
      <c r="D69" s="63"/>
      <c r="E69" s="18"/>
      <c r="F69" s="18"/>
      <c r="G69" s="18"/>
      <c r="H69" s="18"/>
      <c r="I69" s="18"/>
      <c r="J69" s="19"/>
      <c r="K69" s="18"/>
      <c r="L69" s="18"/>
      <c r="M69" s="19"/>
      <c r="N69" s="50"/>
      <c r="O69" s="49"/>
      <c r="P69" s="19"/>
      <c r="Q69" s="50"/>
      <c r="R69" s="50"/>
      <c r="S69" s="19"/>
      <c r="T69" s="51"/>
      <c r="U69" s="54"/>
    </row>
    <row r="70" spans="1:22" s="9" customFormat="1" x14ac:dyDescent="0.3">
      <c r="A70" s="480"/>
      <c r="B70" s="59"/>
      <c r="C70" s="91"/>
      <c r="D70" s="63"/>
      <c r="E70" s="18"/>
      <c r="F70" s="18"/>
      <c r="G70" s="18"/>
      <c r="H70" s="18"/>
      <c r="I70" s="18"/>
      <c r="J70" s="19"/>
      <c r="K70" s="18"/>
      <c r="L70" s="18"/>
      <c r="M70" s="19"/>
      <c r="N70" s="50"/>
      <c r="O70" s="49"/>
      <c r="P70" s="19"/>
      <c r="Q70" s="50"/>
      <c r="R70" s="50"/>
      <c r="S70" s="19"/>
      <c r="T70" s="51"/>
      <c r="U70" s="54"/>
    </row>
    <row r="71" spans="1:22" s="9" customFormat="1" x14ac:dyDescent="0.3">
      <c r="A71" s="480"/>
      <c r="B71" s="59"/>
      <c r="C71" s="91"/>
      <c r="D71" s="63"/>
      <c r="E71" s="18"/>
      <c r="F71" s="18"/>
      <c r="G71" s="18"/>
      <c r="H71" s="18"/>
      <c r="I71" s="18"/>
      <c r="J71" s="19"/>
      <c r="K71" s="18"/>
      <c r="L71" s="18"/>
      <c r="M71" s="19"/>
      <c r="N71" s="50"/>
      <c r="O71" s="49"/>
      <c r="P71" s="19"/>
      <c r="Q71" s="50"/>
      <c r="R71" s="50"/>
      <c r="S71" s="19"/>
      <c r="T71" s="51"/>
      <c r="U71" s="54"/>
    </row>
    <row r="72" spans="1:22" s="9" customFormat="1" x14ac:dyDescent="0.3">
      <c r="A72" s="480"/>
      <c r="B72" s="59"/>
      <c r="C72" s="91"/>
      <c r="D72" s="63"/>
      <c r="E72" s="18"/>
      <c r="F72" s="18"/>
      <c r="G72" s="18"/>
      <c r="H72" s="18"/>
      <c r="I72" s="18"/>
      <c r="J72" s="19"/>
      <c r="K72" s="18"/>
      <c r="L72" s="18"/>
      <c r="M72" s="19"/>
      <c r="N72" s="50"/>
      <c r="O72" s="49"/>
      <c r="P72" s="19"/>
      <c r="Q72" s="50"/>
      <c r="R72" s="50"/>
      <c r="S72" s="19"/>
      <c r="T72" s="51"/>
      <c r="U72" s="54"/>
    </row>
    <row r="73" spans="1:22" s="9" customFormat="1" x14ac:dyDescent="0.3">
      <c r="A73" s="480"/>
      <c r="B73" s="59"/>
      <c r="C73" s="91"/>
      <c r="D73" s="63"/>
      <c r="E73" s="18"/>
      <c r="F73" s="18"/>
      <c r="G73" s="18"/>
      <c r="H73" s="18"/>
      <c r="I73" s="18"/>
      <c r="J73" s="19"/>
      <c r="K73" s="18"/>
      <c r="L73" s="18"/>
      <c r="M73" s="19"/>
      <c r="N73" s="50"/>
      <c r="O73" s="49"/>
      <c r="P73" s="19"/>
      <c r="Q73" s="50"/>
      <c r="R73" s="50"/>
      <c r="S73" s="19"/>
      <c r="T73" s="51"/>
      <c r="U73" s="54"/>
    </row>
    <row r="74" spans="1:22" s="9" customFormat="1" x14ac:dyDescent="0.3">
      <c r="A74" s="480"/>
      <c r="B74" s="59"/>
      <c r="C74" s="91"/>
      <c r="D74" s="63"/>
      <c r="E74" s="18"/>
      <c r="F74" s="18"/>
      <c r="G74" s="18"/>
      <c r="H74" s="18"/>
      <c r="I74" s="18"/>
      <c r="J74" s="19"/>
      <c r="K74" s="18"/>
      <c r="L74" s="18"/>
      <c r="M74" s="19"/>
      <c r="N74" s="50"/>
      <c r="O74" s="49"/>
      <c r="P74" s="19"/>
      <c r="Q74" s="50"/>
      <c r="R74" s="50"/>
      <c r="S74" s="19"/>
      <c r="T74" s="51"/>
      <c r="U74" s="54"/>
    </row>
    <row r="75" spans="1:22" s="9" customFormat="1" x14ac:dyDescent="0.3">
      <c r="A75" s="480"/>
      <c r="B75" s="59"/>
      <c r="C75" s="91"/>
      <c r="D75" s="63"/>
      <c r="E75" s="18"/>
      <c r="F75" s="18"/>
      <c r="G75" s="18"/>
      <c r="H75" s="18"/>
      <c r="I75" s="18"/>
      <c r="J75" s="19"/>
      <c r="K75" s="18"/>
      <c r="L75" s="18"/>
      <c r="M75" s="19"/>
      <c r="N75" s="50"/>
      <c r="O75" s="49"/>
      <c r="P75" s="19"/>
      <c r="Q75" s="50"/>
      <c r="R75" s="50"/>
      <c r="S75" s="19"/>
      <c r="T75" s="51"/>
      <c r="U75" s="54"/>
    </row>
    <row r="76" spans="1:22" s="9" customFormat="1" x14ac:dyDescent="0.3">
      <c r="A76" s="480"/>
      <c r="B76" s="59"/>
      <c r="C76" s="91"/>
      <c r="D76" s="63"/>
      <c r="E76" s="18"/>
      <c r="F76" s="18"/>
      <c r="G76" s="18"/>
      <c r="H76" s="18"/>
      <c r="I76" s="18"/>
      <c r="J76" s="19"/>
      <c r="K76" s="18"/>
      <c r="L76" s="18"/>
      <c r="M76" s="19"/>
      <c r="N76" s="50"/>
      <c r="O76" s="49"/>
      <c r="P76" s="19"/>
      <c r="Q76" s="50"/>
      <c r="R76" s="50"/>
      <c r="S76" s="19"/>
      <c r="T76" s="51"/>
      <c r="U76" s="54"/>
    </row>
  </sheetData>
  <mergeCells count="14">
    <mergeCell ref="T5:T6"/>
    <mergeCell ref="U5:U6"/>
    <mergeCell ref="N5:N6"/>
    <mergeCell ref="O5:O6"/>
    <mergeCell ref="P5:P6"/>
    <mergeCell ref="Q5:Q6"/>
    <mergeCell ref="R5:R6"/>
    <mergeCell ref="S5:S6"/>
    <mergeCell ref="B5:D5"/>
    <mergeCell ref="M5:M6"/>
    <mergeCell ref="J5:J6"/>
    <mergeCell ref="K5:K6"/>
    <mergeCell ref="L5:L6"/>
    <mergeCell ref="E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E666-28D3-4B6A-B609-F30DFCE27AB9}">
  <dimension ref="A2:Y35"/>
  <sheetViews>
    <sheetView zoomScale="90" zoomScaleNormal="90" workbookViewId="0">
      <selection activeCell="H9" sqref="H9"/>
    </sheetView>
  </sheetViews>
  <sheetFormatPr baseColWidth="10" defaultColWidth="11.44140625" defaultRowHeight="14.4" x14ac:dyDescent="0.3"/>
  <cols>
    <col min="1" max="1" width="5.109375" style="479" customWidth="1"/>
    <col min="2" max="2" width="14.77734375" style="56" bestFit="1" customWidth="1"/>
    <col min="3" max="3" width="11.33203125" style="56" customWidth="1"/>
    <col min="4" max="4" width="18" style="56" customWidth="1"/>
    <col min="5" max="5" width="1.88671875" style="1" customWidth="1"/>
    <col min="6" max="6" width="10.44140625" style="56" bestFit="1" customWidth="1"/>
    <col min="7" max="7" width="1.88671875" style="1" customWidth="1"/>
    <col min="8" max="12" width="7.88671875" style="1" customWidth="1"/>
    <col min="13" max="13" width="1.88671875" style="1" customWidth="1"/>
    <col min="14" max="14" width="10.21875" style="1" bestFit="1" customWidth="1"/>
    <col min="15" max="15" width="10.21875" style="1" customWidth="1"/>
    <col min="16" max="16" width="1.88671875" style="1" customWidth="1"/>
    <col min="17" max="18" width="11.33203125" style="1" customWidth="1"/>
    <col min="19" max="19" width="1.88671875" style="1" customWidth="1"/>
    <col min="20" max="21" width="16.44140625" style="1" customWidth="1"/>
    <col min="22" max="22" width="1.88671875" style="1" customWidth="1"/>
    <col min="23" max="23" width="12.33203125" style="1" bestFit="1" customWidth="1"/>
    <col min="24" max="24" width="19.44140625" style="1" customWidth="1"/>
    <col min="25" max="25" width="41.109375" style="1" bestFit="1" customWidth="1"/>
    <col min="26" max="16384" width="11.44140625" style="1"/>
  </cols>
  <sheetData>
    <row r="2" spans="1:25" x14ac:dyDescent="0.3">
      <c r="B2" s="56" t="s">
        <v>332</v>
      </c>
    </row>
    <row r="3" spans="1:25" x14ac:dyDescent="0.3">
      <c r="B3" s="56" t="s">
        <v>81</v>
      </c>
      <c r="C3" s="56" t="s">
        <v>333</v>
      </c>
    </row>
    <row r="4" spans="1:25" x14ac:dyDescent="0.3">
      <c r="Q4" s="1" t="s">
        <v>445</v>
      </c>
      <c r="R4" s="1" t="s">
        <v>511</v>
      </c>
    </row>
    <row r="5" spans="1:25" ht="14.4" customHeight="1" x14ac:dyDescent="0.3">
      <c r="B5" s="845" t="s">
        <v>142</v>
      </c>
      <c r="C5" s="846"/>
      <c r="D5" s="846"/>
      <c r="E5" s="712"/>
      <c r="F5" s="851" t="s">
        <v>330</v>
      </c>
      <c r="G5" s="712"/>
      <c r="H5" s="721" t="s">
        <v>54</v>
      </c>
      <c r="I5" s="722"/>
      <c r="J5" s="722"/>
      <c r="K5" s="722"/>
      <c r="L5" s="723"/>
      <c r="M5" s="712"/>
      <c r="N5" s="720" t="s">
        <v>3</v>
      </c>
      <c r="O5" s="720" t="s">
        <v>57</v>
      </c>
      <c r="P5" s="712"/>
      <c r="Q5" s="720" t="s">
        <v>1</v>
      </c>
      <c r="R5" s="720" t="s">
        <v>2</v>
      </c>
      <c r="S5" s="712"/>
      <c r="T5" s="710" t="s">
        <v>336</v>
      </c>
      <c r="U5" s="710" t="s">
        <v>337</v>
      </c>
      <c r="V5" s="712"/>
      <c r="W5" s="714" t="s">
        <v>35</v>
      </c>
      <c r="X5" s="716" t="s">
        <v>62</v>
      </c>
    </row>
    <row r="6" spans="1:25" x14ac:dyDescent="0.3">
      <c r="B6" s="103" t="s">
        <v>106</v>
      </c>
      <c r="C6" s="104" t="s">
        <v>56</v>
      </c>
      <c r="D6" s="105" t="s">
        <v>55</v>
      </c>
      <c r="E6" s="847"/>
      <c r="F6" s="852"/>
      <c r="G6" s="847"/>
      <c r="H6" s="106">
        <v>2025</v>
      </c>
      <c r="I6" s="106">
        <v>2024</v>
      </c>
      <c r="J6" s="106">
        <v>2023</v>
      </c>
      <c r="K6" s="106">
        <v>2022</v>
      </c>
      <c r="L6" s="106">
        <v>2021</v>
      </c>
      <c r="M6" s="847"/>
      <c r="N6" s="848"/>
      <c r="O6" s="848"/>
      <c r="P6" s="847"/>
      <c r="Q6" s="848"/>
      <c r="R6" s="848"/>
      <c r="S6" s="847"/>
      <c r="T6" s="848"/>
      <c r="U6" s="848"/>
      <c r="V6" s="847"/>
      <c r="W6" s="849"/>
      <c r="X6" s="850"/>
    </row>
    <row r="7" spans="1:25" s="9" customFormat="1" x14ac:dyDescent="0.3">
      <c r="A7" s="480"/>
      <c r="B7" s="52"/>
      <c r="C7" s="91"/>
      <c r="D7" s="91"/>
      <c r="E7" s="19"/>
      <c r="F7" s="91"/>
      <c r="G7" s="19"/>
      <c r="H7" s="42"/>
      <c r="I7" s="42"/>
      <c r="J7" s="42"/>
      <c r="K7" s="42"/>
      <c r="L7" s="42"/>
      <c r="M7" s="19"/>
      <c r="N7" s="18"/>
      <c r="O7" s="18"/>
      <c r="P7" s="19"/>
      <c r="Q7" s="50"/>
      <c r="R7" s="49"/>
      <c r="S7" s="19"/>
      <c r="T7" s="50"/>
      <c r="U7" s="50"/>
      <c r="V7" s="19"/>
      <c r="W7" s="51"/>
      <c r="X7" s="54"/>
    </row>
    <row r="8" spans="1:25" s="9" customFormat="1" x14ac:dyDescent="0.3">
      <c r="A8" s="480"/>
      <c r="B8" s="58" t="s">
        <v>334</v>
      </c>
      <c r="C8" s="89" t="s">
        <v>442</v>
      </c>
      <c r="D8" s="89" t="s">
        <v>442</v>
      </c>
      <c r="E8" s="7"/>
      <c r="F8" s="89"/>
      <c r="G8" s="7"/>
      <c r="H8" s="6">
        <v>20</v>
      </c>
      <c r="I8" s="6">
        <v>106</v>
      </c>
      <c r="J8" s="6">
        <v>57</v>
      </c>
      <c r="K8" s="6">
        <v>0</v>
      </c>
      <c r="L8" s="6">
        <v>161</v>
      </c>
      <c r="M8" s="7"/>
      <c r="N8" s="6">
        <v>91</v>
      </c>
      <c r="O8" s="6">
        <v>0</v>
      </c>
      <c r="P8" s="7"/>
      <c r="Q8" s="8"/>
      <c r="R8" s="47"/>
      <c r="S8" s="7"/>
      <c r="T8" s="8"/>
      <c r="U8" s="8"/>
      <c r="V8" s="7"/>
      <c r="W8" s="48"/>
      <c r="X8" s="113"/>
    </row>
    <row r="9" spans="1:25" s="9" customFormat="1" x14ac:dyDescent="0.3">
      <c r="A9" s="480"/>
      <c r="B9" s="52" t="s">
        <v>346</v>
      </c>
      <c r="C9" s="91">
        <v>106779</v>
      </c>
      <c r="D9" s="91" t="s">
        <v>443</v>
      </c>
      <c r="E9" s="43"/>
      <c r="F9" s="91"/>
      <c r="G9" s="43"/>
      <c r="H9" s="42"/>
      <c r="I9" s="42">
        <v>0</v>
      </c>
      <c r="J9" s="42">
        <v>8</v>
      </c>
      <c r="K9" s="42">
        <v>0</v>
      </c>
      <c r="L9" s="42">
        <v>0</v>
      </c>
      <c r="M9" s="43"/>
      <c r="N9" s="42"/>
      <c r="O9" s="42"/>
      <c r="P9" s="43"/>
      <c r="Q9" s="74"/>
      <c r="R9" s="75"/>
      <c r="S9" s="43"/>
      <c r="T9" s="74"/>
      <c r="U9" s="74"/>
      <c r="V9" s="43"/>
      <c r="W9" s="76"/>
      <c r="X9" s="114"/>
    </row>
    <row r="10" spans="1:25" s="9" customFormat="1" x14ac:dyDescent="0.3">
      <c r="A10" s="480"/>
      <c r="B10" s="323" t="s">
        <v>346</v>
      </c>
      <c r="C10" s="324">
        <v>136987</v>
      </c>
      <c r="D10" s="324" t="s">
        <v>444</v>
      </c>
      <c r="E10" s="538"/>
      <c r="F10" s="324"/>
      <c r="G10" s="538"/>
      <c r="H10" s="326"/>
      <c r="I10" s="326">
        <v>0</v>
      </c>
      <c r="J10" s="326">
        <v>14</v>
      </c>
      <c r="K10" s="326">
        <v>184</v>
      </c>
      <c r="L10" s="326">
        <v>35</v>
      </c>
      <c r="M10" s="538"/>
      <c r="N10" s="326"/>
      <c r="O10" s="326"/>
      <c r="P10" s="538"/>
      <c r="Q10" s="539"/>
      <c r="R10" s="540"/>
      <c r="S10" s="538"/>
      <c r="T10" s="539"/>
      <c r="U10" s="539"/>
      <c r="V10" s="538"/>
      <c r="W10" s="541"/>
      <c r="X10" s="542"/>
    </row>
    <row r="11" spans="1:25" s="100" customFormat="1" x14ac:dyDescent="0.3">
      <c r="A11" s="675">
        <v>20.02</v>
      </c>
      <c r="B11" s="316" t="s">
        <v>99</v>
      </c>
      <c r="C11" s="317"/>
      <c r="D11" s="317"/>
      <c r="E11" s="110"/>
      <c r="F11" s="317"/>
      <c r="G11" s="110"/>
      <c r="H11" s="318">
        <f>SUM(H8:H10)</f>
        <v>20</v>
      </c>
      <c r="I11" s="318">
        <f>SUM(I8:I10)</f>
        <v>106</v>
      </c>
      <c r="J11" s="318">
        <f>SUM(J8:J10)</f>
        <v>79</v>
      </c>
      <c r="K11" s="318">
        <f>SUM(K8:K10)</f>
        <v>184</v>
      </c>
      <c r="L11" s="318">
        <f>SUM(L8:L10)</f>
        <v>196</v>
      </c>
      <c r="M11" s="110"/>
      <c r="N11" s="318">
        <f>SUM(N8:N10)</f>
        <v>91</v>
      </c>
      <c r="O11" s="318">
        <f>SUM(O8:O10)</f>
        <v>0</v>
      </c>
      <c r="P11" s="110"/>
      <c r="Q11" s="319">
        <f>SUM(I11:K11)/3</f>
        <v>123</v>
      </c>
      <c r="R11" s="320">
        <f>(SUM(H11:K11))/37.5</f>
        <v>10.373333333333333</v>
      </c>
      <c r="S11" s="110"/>
      <c r="T11" s="319">
        <f>R11*6</f>
        <v>62.239999999999995</v>
      </c>
      <c r="U11" s="319">
        <f>R11*12</f>
        <v>124.47999999999999</v>
      </c>
      <c r="V11" s="110"/>
      <c r="W11" s="321">
        <f>U11-(N11+O11)</f>
        <v>33.47999999999999</v>
      </c>
      <c r="X11" s="322"/>
      <c r="Y11" s="119"/>
    </row>
    <row r="12" spans="1:25" s="100" customFormat="1" x14ac:dyDescent="0.3">
      <c r="A12" s="675"/>
      <c r="B12" s="543"/>
      <c r="C12" s="544"/>
      <c r="D12" s="544"/>
      <c r="E12" s="545"/>
      <c r="F12" s="544"/>
      <c r="G12" s="545"/>
      <c r="H12" s="546"/>
      <c r="I12" s="546"/>
      <c r="J12" s="546"/>
      <c r="K12" s="546"/>
      <c r="L12" s="546"/>
      <c r="M12" s="545"/>
      <c r="N12" s="546"/>
      <c r="O12" s="546"/>
      <c r="P12" s="545"/>
      <c r="Q12" s="547"/>
      <c r="R12" s="548"/>
      <c r="S12" s="545"/>
      <c r="T12" s="547"/>
      <c r="U12" s="547"/>
      <c r="V12" s="545"/>
      <c r="W12" s="549"/>
      <c r="X12" s="550"/>
    </row>
    <row r="13" spans="1:25" s="100" customFormat="1" x14ac:dyDescent="0.3">
      <c r="A13" s="675"/>
      <c r="B13" s="107"/>
      <c r="C13" s="108"/>
      <c r="D13" s="108"/>
      <c r="E13" s="110"/>
      <c r="F13" s="108"/>
      <c r="G13" s="110"/>
      <c r="H13" s="109"/>
      <c r="I13" s="109"/>
      <c r="J13" s="109"/>
      <c r="K13" s="109"/>
      <c r="L13" s="109"/>
      <c r="M13" s="110"/>
      <c r="N13" s="109"/>
      <c r="O13" s="109"/>
      <c r="P13" s="110"/>
      <c r="Q13" s="111"/>
      <c r="R13" s="112"/>
      <c r="S13" s="110"/>
      <c r="T13" s="111"/>
      <c r="U13" s="111"/>
      <c r="V13" s="110"/>
      <c r="W13" s="116"/>
      <c r="X13" s="115"/>
    </row>
    <row r="14" spans="1:25" s="9" customFormat="1" x14ac:dyDescent="0.3">
      <c r="A14" s="480"/>
      <c r="B14" s="58" t="s">
        <v>334</v>
      </c>
      <c r="C14" s="89" t="s">
        <v>335</v>
      </c>
      <c r="D14" s="327" t="s">
        <v>335</v>
      </c>
      <c r="E14" s="7"/>
      <c r="F14" s="426">
        <v>85.8</v>
      </c>
      <c r="G14" s="7"/>
      <c r="H14" s="6"/>
      <c r="I14" s="6">
        <v>130</v>
      </c>
      <c r="J14" s="6">
        <v>106</v>
      </c>
      <c r="K14" s="6"/>
      <c r="L14" s="6">
        <v>118</v>
      </c>
      <c r="M14" s="7"/>
      <c r="N14" s="6">
        <v>0</v>
      </c>
      <c r="O14" s="6">
        <v>236</v>
      </c>
      <c r="P14" s="7"/>
      <c r="Q14" s="8">
        <f>(I14+J14+L14)/3</f>
        <v>118</v>
      </c>
      <c r="R14" s="47">
        <f>(I14+J14+L14)/34</f>
        <v>10.411764705882353</v>
      </c>
      <c r="S14" s="7"/>
      <c r="T14" s="8">
        <f>R14*6</f>
        <v>62.470588235294116</v>
      </c>
      <c r="U14" s="8">
        <f>T14*2</f>
        <v>124.94117647058823</v>
      </c>
      <c r="V14" s="7"/>
      <c r="W14" s="51">
        <f>U14-(N14+O14)</f>
        <v>-111.05882352941177</v>
      </c>
      <c r="X14" s="53"/>
    </row>
    <row r="15" spans="1:25" s="9" customFormat="1" x14ac:dyDescent="0.3">
      <c r="A15" s="480"/>
      <c r="B15" s="52" t="s">
        <v>346</v>
      </c>
      <c r="C15" s="91" t="s">
        <v>345</v>
      </c>
      <c r="D15" s="206"/>
      <c r="E15" s="19"/>
      <c r="F15" s="427">
        <v>182</v>
      </c>
      <c r="G15" s="19"/>
      <c r="H15" s="42"/>
      <c r="I15" s="42">
        <v>0</v>
      </c>
      <c r="J15" s="42">
        <v>32</v>
      </c>
      <c r="K15" s="42">
        <v>83</v>
      </c>
      <c r="L15" s="42">
        <v>5</v>
      </c>
      <c r="M15" s="19"/>
      <c r="N15" s="18"/>
      <c r="O15" s="18"/>
      <c r="P15" s="19"/>
      <c r="Q15" s="50"/>
      <c r="R15" s="49"/>
      <c r="S15" s="19"/>
      <c r="T15" s="50"/>
      <c r="U15" s="50"/>
      <c r="V15" s="19"/>
      <c r="W15" s="51"/>
      <c r="X15" s="54"/>
    </row>
    <row r="16" spans="1:25" s="100" customFormat="1" x14ac:dyDescent="0.3">
      <c r="A16" s="675"/>
      <c r="B16" s="316" t="s">
        <v>99</v>
      </c>
      <c r="C16" s="317"/>
      <c r="D16" s="317"/>
      <c r="E16" s="110"/>
      <c r="F16" s="317"/>
      <c r="G16" s="110"/>
      <c r="H16" s="318"/>
      <c r="I16" s="318">
        <f>SUM(I14:I15)</f>
        <v>130</v>
      </c>
      <c r="J16" s="318">
        <f>SUM(J14:J15)</f>
        <v>138</v>
      </c>
      <c r="K16" s="318">
        <f>SUM(K14:K15)</f>
        <v>83</v>
      </c>
      <c r="L16" s="318">
        <f>SUM(L14:L15)</f>
        <v>123</v>
      </c>
      <c r="M16" s="110"/>
      <c r="N16" s="318">
        <f>N15+N14</f>
        <v>0</v>
      </c>
      <c r="O16" s="318">
        <f>O15+O14</f>
        <v>236</v>
      </c>
      <c r="P16" s="110"/>
      <c r="Q16" s="319">
        <f>(J16+K16+L16)/2</f>
        <v>172</v>
      </c>
      <c r="R16" s="320">
        <f>(SUM(I16:L16))/30</f>
        <v>15.8</v>
      </c>
      <c r="S16" s="110"/>
      <c r="T16" s="319">
        <f>R16*6</f>
        <v>94.800000000000011</v>
      </c>
      <c r="U16" s="319">
        <f>R16*12</f>
        <v>189.60000000000002</v>
      </c>
      <c r="V16" s="110"/>
      <c r="W16" s="321">
        <f>U16-(N16+O16)</f>
        <v>-46.399999999999977</v>
      </c>
      <c r="X16" s="322"/>
      <c r="Y16" s="119"/>
    </row>
    <row r="17" spans="1:25" s="9" customFormat="1" x14ac:dyDescent="0.3">
      <c r="A17" s="480"/>
      <c r="B17" s="52"/>
      <c r="C17" s="91"/>
      <c r="D17" s="91"/>
      <c r="E17" s="19"/>
      <c r="F17" s="91"/>
      <c r="G17" s="19"/>
      <c r="H17" s="42"/>
      <c r="I17" s="42"/>
      <c r="J17" s="42"/>
      <c r="K17" s="42"/>
      <c r="L17" s="42"/>
      <c r="M17" s="19"/>
      <c r="N17" s="18"/>
      <c r="O17" s="18"/>
      <c r="P17" s="19"/>
      <c r="Q17" s="50"/>
      <c r="R17" s="49"/>
      <c r="S17" s="19"/>
      <c r="T17" s="50"/>
      <c r="U17" s="50"/>
      <c r="V17" s="19"/>
      <c r="W17" s="51"/>
      <c r="X17" s="54"/>
    </row>
    <row r="18" spans="1:25" s="9" customFormat="1" x14ac:dyDescent="0.3">
      <c r="A18" s="480"/>
      <c r="B18" s="264"/>
      <c r="C18" s="214"/>
      <c r="D18" s="265"/>
      <c r="E18" s="31"/>
      <c r="F18" s="265"/>
      <c r="G18" s="31"/>
      <c r="H18" s="32"/>
      <c r="I18" s="32"/>
      <c r="J18" s="32"/>
      <c r="K18" s="32"/>
      <c r="L18" s="32"/>
      <c r="M18" s="31"/>
      <c r="N18" s="32"/>
      <c r="O18" s="32"/>
      <c r="P18" s="31"/>
      <c r="Q18" s="266"/>
      <c r="R18" s="267"/>
      <c r="S18" s="31"/>
      <c r="T18" s="266"/>
      <c r="U18" s="266"/>
      <c r="V18" s="31"/>
      <c r="W18" s="268"/>
      <c r="X18" s="269"/>
    </row>
    <row r="19" spans="1:25" s="9" customFormat="1" x14ac:dyDescent="0.3">
      <c r="A19" s="480"/>
      <c r="B19" s="59" t="s">
        <v>334</v>
      </c>
      <c r="C19" s="90" t="s">
        <v>495</v>
      </c>
      <c r="D19" s="63" t="s">
        <v>495</v>
      </c>
      <c r="E19" s="19"/>
      <c r="F19" s="673">
        <v>29.8</v>
      </c>
      <c r="G19" s="19"/>
      <c r="H19" s="18">
        <f>36+17</f>
        <v>53</v>
      </c>
      <c r="I19" s="18">
        <v>518</v>
      </c>
      <c r="J19" s="18">
        <v>0</v>
      </c>
      <c r="K19" s="18">
        <v>0</v>
      </c>
      <c r="L19" s="18">
        <v>0</v>
      </c>
      <c r="M19" s="19"/>
      <c r="N19" s="18">
        <v>793</v>
      </c>
      <c r="O19" s="18">
        <v>0</v>
      </c>
      <c r="P19" s="19"/>
      <c r="Q19" s="50"/>
      <c r="R19" s="49"/>
      <c r="S19" s="19"/>
      <c r="T19" s="50"/>
      <c r="U19" s="50"/>
      <c r="V19" s="19"/>
      <c r="W19" s="51"/>
      <c r="X19" s="54"/>
    </row>
    <row r="20" spans="1:25" s="9" customFormat="1" x14ac:dyDescent="0.3">
      <c r="A20" s="480"/>
      <c r="B20" s="59" t="s">
        <v>346</v>
      </c>
      <c r="C20" s="674" t="s">
        <v>496</v>
      </c>
      <c r="D20" s="674" t="s">
        <v>496</v>
      </c>
      <c r="E20" s="19"/>
      <c r="F20" s="427">
        <v>55.21</v>
      </c>
      <c r="G20" s="19"/>
      <c r="H20" s="18">
        <v>0</v>
      </c>
      <c r="I20" s="18">
        <v>22</v>
      </c>
      <c r="J20" s="18">
        <v>457</v>
      </c>
      <c r="K20" s="18">
        <v>319</v>
      </c>
      <c r="L20" s="18">
        <v>0</v>
      </c>
      <c r="M20" s="19"/>
      <c r="N20" s="18">
        <v>0</v>
      </c>
      <c r="O20" s="18">
        <v>0</v>
      </c>
      <c r="P20" s="19"/>
      <c r="Q20" s="50"/>
      <c r="R20" s="49"/>
      <c r="S20" s="19"/>
      <c r="T20" s="50"/>
      <c r="U20" s="50"/>
      <c r="V20" s="19"/>
      <c r="W20" s="51"/>
      <c r="X20" s="54"/>
    </row>
    <row r="21" spans="1:25" s="100" customFormat="1" x14ac:dyDescent="0.3">
      <c r="A21" s="675">
        <v>28.01</v>
      </c>
      <c r="B21" s="316" t="s">
        <v>99</v>
      </c>
      <c r="C21" s="317"/>
      <c r="D21" s="317"/>
      <c r="E21" s="110"/>
      <c r="F21" s="317"/>
      <c r="G21" s="110"/>
      <c r="H21" s="318">
        <f>SUM(H19:H20)</f>
        <v>53</v>
      </c>
      <c r="I21" s="318">
        <f>SUM(I19:I20)</f>
        <v>540</v>
      </c>
      <c r="J21" s="318">
        <f>SUM(J19:J20)</f>
        <v>457</v>
      </c>
      <c r="K21" s="318">
        <f>SUM(K19:K20)</f>
        <v>319</v>
      </c>
      <c r="L21" s="318">
        <f>SUM(L19:L20)</f>
        <v>0</v>
      </c>
      <c r="M21" s="110"/>
      <c r="N21" s="318">
        <f>N20+N19</f>
        <v>793</v>
      </c>
      <c r="O21" s="318">
        <f>O20+O19</f>
        <v>0</v>
      </c>
      <c r="P21" s="110"/>
      <c r="Q21" s="319">
        <f>SUM(I21:K21)/3</f>
        <v>438.66666666666669</v>
      </c>
      <c r="R21" s="320">
        <f>(SUM(H21:K21))/37</f>
        <v>37</v>
      </c>
      <c r="S21" s="110"/>
      <c r="T21" s="319">
        <f>R21*6</f>
        <v>222</v>
      </c>
      <c r="U21" s="319">
        <f>R21*12</f>
        <v>444</v>
      </c>
      <c r="V21" s="110"/>
      <c r="W21" s="321">
        <f>U21-(N21+O21)</f>
        <v>-349</v>
      </c>
      <c r="X21" s="322" t="s">
        <v>497</v>
      </c>
      <c r="Y21" s="119"/>
    </row>
    <row r="22" spans="1:25" s="9" customFormat="1" x14ac:dyDescent="0.3">
      <c r="A22" s="480"/>
      <c r="B22" s="59"/>
      <c r="C22" s="91"/>
      <c r="D22" s="63"/>
      <c r="E22" s="19"/>
      <c r="F22" s="427"/>
      <c r="G22" s="19"/>
      <c r="H22" s="18"/>
      <c r="I22" s="18"/>
      <c r="J22" s="18"/>
      <c r="K22" s="18"/>
      <c r="L22" s="18"/>
      <c r="M22" s="19"/>
      <c r="N22" s="18"/>
      <c r="O22" s="18"/>
      <c r="P22" s="19"/>
      <c r="Q22" s="50"/>
      <c r="R22" s="49"/>
      <c r="S22" s="19"/>
      <c r="T22" s="50"/>
      <c r="U22" s="50"/>
      <c r="V22" s="19"/>
      <c r="W22" s="51"/>
      <c r="X22" s="54"/>
    </row>
    <row r="23" spans="1:25" s="9" customFormat="1" x14ac:dyDescent="0.3">
      <c r="A23" s="480"/>
      <c r="B23" s="59"/>
      <c r="C23" s="91"/>
      <c r="D23" s="63"/>
      <c r="E23" s="19"/>
      <c r="F23" s="427"/>
      <c r="G23" s="19"/>
      <c r="H23" s="18"/>
      <c r="I23" s="18"/>
      <c r="J23" s="18"/>
      <c r="K23" s="18"/>
      <c r="L23" s="18"/>
      <c r="M23" s="19"/>
      <c r="N23" s="18"/>
      <c r="O23" s="18"/>
      <c r="P23" s="19"/>
      <c r="Q23" s="50"/>
      <c r="R23" s="49"/>
      <c r="S23" s="19"/>
      <c r="T23" s="50"/>
      <c r="U23" s="50"/>
      <c r="V23" s="19"/>
      <c r="W23" s="51"/>
      <c r="X23" s="54"/>
    </row>
    <row r="24" spans="1:25" s="9" customFormat="1" x14ac:dyDescent="0.3">
      <c r="A24" s="480"/>
      <c r="B24" s="60"/>
      <c r="C24" s="214"/>
      <c r="D24" s="65"/>
      <c r="E24" s="45"/>
      <c r="F24" s="65"/>
      <c r="G24" s="45"/>
      <c r="H24" s="44"/>
      <c r="I24" s="44"/>
      <c r="J24" s="44"/>
      <c r="K24" s="44"/>
      <c r="L24" s="44"/>
      <c r="M24" s="45"/>
      <c r="N24" s="44"/>
      <c r="O24" s="44"/>
      <c r="P24" s="45"/>
      <c r="Q24" s="44"/>
      <c r="R24" s="44"/>
      <c r="S24" s="45"/>
      <c r="T24" s="44"/>
      <c r="U24" s="44"/>
      <c r="V24" s="45"/>
      <c r="W24" s="46"/>
      <c r="X24" s="55"/>
    </row>
    <row r="29" spans="1:25" x14ac:dyDescent="0.3">
      <c r="B29" s="56" t="s">
        <v>338</v>
      </c>
    </row>
    <row r="30" spans="1:25" x14ac:dyDescent="0.3">
      <c r="B30" s="56" t="s">
        <v>339</v>
      </c>
    </row>
    <row r="31" spans="1:25" x14ac:dyDescent="0.3">
      <c r="B31" s="56" t="s">
        <v>340</v>
      </c>
    </row>
    <row r="32" spans="1:25" x14ac:dyDescent="0.3">
      <c r="B32" s="56" t="s">
        <v>341</v>
      </c>
    </row>
    <row r="33" spans="2:2" x14ac:dyDescent="0.3">
      <c r="B33" s="56" t="s">
        <v>342</v>
      </c>
    </row>
    <row r="34" spans="2:2" x14ac:dyDescent="0.3">
      <c r="B34" s="56" t="s">
        <v>344</v>
      </c>
    </row>
    <row r="35" spans="2:2" x14ac:dyDescent="0.3">
      <c r="B35" s="56" t="s">
        <v>343</v>
      </c>
    </row>
  </sheetData>
  <mergeCells count="17">
    <mergeCell ref="B5:D5"/>
    <mergeCell ref="M5:M6"/>
    <mergeCell ref="N5:N6"/>
    <mergeCell ref="O5:O6"/>
    <mergeCell ref="H5:L5"/>
    <mergeCell ref="W5:W6"/>
    <mergeCell ref="X5:X6"/>
    <mergeCell ref="E5:E6"/>
    <mergeCell ref="G5:G6"/>
    <mergeCell ref="F5:F6"/>
    <mergeCell ref="Q5:Q6"/>
    <mergeCell ref="R5:R6"/>
    <mergeCell ref="S5:S6"/>
    <mergeCell ref="T5:T6"/>
    <mergeCell ref="U5:U6"/>
    <mergeCell ref="V5:V6"/>
    <mergeCell ref="P5:P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0A01-8200-46E1-AB08-EF748DB2E384}">
  <dimension ref="B3:R10"/>
  <sheetViews>
    <sheetView workbookViewId="0">
      <selection activeCell="F16" sqref="F16"/>
    </sheetView>
  </sheetViews>
  <sheetFormatPr baseColWidth="10" defaultRowHeight="14.4" x14ac:dyDescent="0.3"/>
  <cols>
    <col min="1" max="1" width="4.44140625" style="1" customWidth="1"/>
    <col min="2" max="2" width="23" style="1" customWidth="1"/>
    <col min="3" max="3" width="18.44140625" style="1" customWidth="1"/>
    <col min="4" max="9" width="8.6640625" style="1" customWidth="1"/>
    <col min="10" max="10" width="1" style="1" customWidth="1"/>
    <col min="11" max="11" width="8.6640625" style="1" customWidth="1"/>
    <col min="12" max="12" width="10.33203125" style="1" bestFit="1" customWidth="1"/>
    <col min="13" max="16" width="8.6640625" style="1" customWidth="1"/>
    <col min="17" max="17" width="1" style="1" customWidth="1"/>
    <col min="18" max="16384" width="11.5546875" style="1"/>
  </cols>
  <sheetData>
    <row r="3" spans="2:18" x14ac:dyDescent="0.3">
      <c r="B3" s="853" t="s">
        <v>292</v>
      </c>
      <c r="C3" s="854"/>
      <c r="D3" s="862" t="s">
        <v>289</v>
      </c>
      <c r="E3" s="749"/>
      <c r="F3" s="749"/>
      <c r="G3" s="749"/>
      <c r="H3" s="749"/>
      <c r="I3" s="749"/>
      <c r="J3" s="331"/>
      <c r="K3" s="722" t="s">
        <v>287</v>
      </c>
      <c r="L3" s="722"/>
      <c r="M3" s="722"/>
      <c r="N3" s="722"/>
      <c r="O3" s="722"/>
      <c r="P3" s="328"/>
      <c r="Q3" s="331"/>
    </row>
    <row r="4" spans="2:18" x14ac:dyDescent="0.3">
      <c r="B4" s="855"/>
      <c r="C4" s="856"/>
      <c r="D4" s="859">
        <v>2023</v>
      </c>
      <c r="E4" s="858"/>
      <c r="F4" s="859">
        <v>2022</v>
      </c>
      <c r="G4" s="858"/>
      <c r="H4" s="859">
        <v>2021</v>
      </c>
      <c r="I4" s="857"/>
      <c r="J4" s="357"/>
      <c r="K4" s="857">
        <v>2023</v>
      </c>
      <c r="L4" s="858"/>
      <c r="M4" s="859">
        <v>2022</v>
      </c>
      <c r="N4" s="858"/>
      <c r="O4" s="859">
        <v>2021</v>
      </c>
      <c r="P4" s="858"/>
      <c r="Q4" s="860"/>
    </row>
    <row r="5" spans="2:18" x14ac:dyDescent="0.3">
      <c r="B5" s="66" t="s">
        <v>56</v>
      </c>
      <c r="C5" s="332" t="s">
        <v>55</v>
      </c>
      <c r="D5" s="342" t="s">
        <v>290</v>
      </c>
      <c r="E5" s="343" t="s">
        <v>296</v>
      </c>
      <c r="F5" s="342" t="s">
        <v>290</v>
      </c>
      <c r="G5" s="343" t="s">
        <v>295</v>
      </c>
      <c r="H5" s="68" t="s">
        <v>290</v>
      </c>
      <c r="I5" s="330" t="s">
        <v>295</v>
      </c>
      <c r="J5" s="358"/>
      <c r="K5" s="147" t="s">
        <v>290</v>
      </c>
      <c r="L5" s="343" t="s">
        <v>291</v>
      </c>
      <c r="M5" s="342" t="s">
        <v>290</v>
      </c>
      <c r="N5" s="343" t="s">
        <v>291</v>
      </c>
      <c r="O5" s="68" t="s">
        <v>290</v>
      </c>
      <c r="P5" s="68" t="s">
        <v>291</v>
      </c>
      <c r="Q5" s="861"/>
    </row>
    <row r="6" spans="2:18" x14ac:dyDescent="0.3">
      <c r="B6" s="270" t="s">
        <v>283</v>
      </c>
      <c r="C6" s="333" t="s">
        <v>294</v>
      </c>
      <c r="D6" s="344"/>
      <c r="E6" s="345"/>
      <c r="F6" s="344"/>
      <c r="G6" s="345"/>
      <c r="H6" s="271"/>
      <c r="I6" s="354"/>
      <c r="J6" s="185"/>
      <c r="K6" s="338"/>
      <c r="L6" s="345"/>
      <c r="M6" s="344"/>
      <c r="N6" s="345"/>
      <c r="O6" s="271"/>
      <c r="P6" s="271"/>
      <c r="Q6" s="272"/>
    </row>
    <row r="7" spans="2:18" x14ac:dyDescent="0.3">
      <c r="B7" s="329"/>
      <c r="C7" s="334"/>
      <c r="D7" s="346"/>
      <c r="E7" s="347"/>
      <c r="F7" s="346"/>
      <c r="G7" s="347"/>
      <c r="H7" s="186"/>
      <c r="I7" s="355"/>
      <c r="J7" s="185"/>
      <c r="K7" s="339"/>
      <c r="L7" s="347"/>
      <c r="M7" s="346"/>
      <c r="N7" s="347"/>
      <c r="O7" s="186"/>
      <c r="P7" s="186"/>
      <c r="Q7" s="185"/>
    </row>
    <row r="8" spans="2:18" x14ac:dyDescent="0.3">
      <c r="B8" s="58" t="s">
        <v>285</v>
      </c>
      <c r="C8" s="335" t="s">
        <v>288</v>
      </c>
      <c r="D8" s="348">
        <v>1</v>
      </c>
      <c r="E8" s="349">
        <v>1</v>
      </c>
      <c r="F8" s="361" t="s">
        <v>113</v>
      </c>
      <c r="G8" s="362" t="s">
        <v>113</v>
      </c>
      <c r="H8" s="6">
        <v>106</v>
      </c>
      <c r="I8" s="143">
        <v>6</v>
      </c>
      <c r="J8" s="185"/>
      <c r="K8" s="148">
        <v>5</v>
      </c>
      <c r="L8" s="349">
        <v>4</v>
      </c>
      <c r="M8" s="348">
        <v>6</v>
      </c>
      <c r="N8" s="349">
        <v>4</v>
      </c>
      <c r="O8" s="6">
        <v>97</v>
      </c>
      <c r="P8" s="6">
        <v>12</v>
      </c>
      <c r="Q8" s="7"/>
      <c r="R8" s="1" t="s">
        <v>297</v>
      </c>
    </row>
    <row r="9" spans="2:18" x14ac:dyDescent="0.3">
      <c r="B9" s="264" t="s">
        <v>284</v>
      </c>
      <c r="C9" s="336" t="s">
        <v>286</v>
      </c>
      <c r="D9" s="350">
        <v>10</v>
      </c>
      <c r="E9" s="351">
        <v>3</v>
      </c>
      <c r="F9" s="350">
        <v>8</v>
      </c>
      <c r="G9" s="351">
        <v>2</v>
      </c>
      <c r="H9" s="359" t="s">
        <v>113</v>
      </c>
      <c r="I9" s="360" t="s">
        <v>113</v>
      </c>
      <c r="J9" s="185"/>
      <c r="K9" s="340">
        <v>9</v>
      </c>
      <c r="L9" s="351">
        <v>3</v>
      </c>
      <c r="M9" s="350">
        <v>1</v>
      </c>
      <c r="N9" s="351">
        <v>1</v>
      </c>
      <c r="O9" s="359" t="s">
        <v>113</v>
      </c>
      <c r="P9" s="359" t="s">
        <v>113</v>
      </c>
      <c r="Q9" s="31"/>
    </row>
    <row r="10" spans="2:18" x14ac:dyDescent="0.3">
      <c r="B10" s="257" t="s">
        <v>99</v>
      </c>
      <c r="C10" s="337"/>
      <c r="D10" s="352">
        <f>SUM(D8:D9)</f>
        <v>11</v>
      </c>
      <c r="E10" s="353">
        <v>4</v>
      </c>
      <c r="F10" s="352">
        <f>SUM(F8:F9)</f>
        <v>8</v>
      </c>
      <c r="G10" s="353">
        <v>2</v>
      </c>
      <c r="H10" s="259">
        <f>SUM(H8:H9)</f>
        <v>106</v>
      </c>
      <c r="I10" s="356">
        <v>6</v>
      </c>
      <c r="J10" s="45"/>
      <c r="K10" s="341">
        <f>SUM(K8:K9)</f>
        <v>14</v>
      </c>
      <c r="L10" s="353">
        <f>SUM(L8:L9)</f>
        <v>7</v>
      </c>
      <c r="M10" s="352">
        <f>SUM(M8:M9)</f>
        <v>7</v>
      </c>
      <c r="N10" s="353">
        <f>SUM(N8:N9)</f>
        <v>5</v>
      </c>
      <c r="O10" s="259">
        <f>SUM(O8:O9)</f>
        <v>97</v>
      </c>
      <c r="P10" s="259">
        <v>12</v>
      </c>
      <c r="Q10" s="31"/>
    </row>
  </sheetData>
  <mergeCells count="10">
    <mergeCell ref="Q4:Q5"/>
    <mergeCell ref="D4:E4"/>
    <mergeCell ref="F4:G4"/>
    <mergeCell ref="H4:I4"/>
    <mergeCell ref="D3:I3"/>
    <mergeCell ref="B3:C4"/>
    <mergeCell ref="K3:O3"/>
    <mergeCell ref="K4:L4"/>
    <mergeCell ref="M4:N4"/>
    <mergeCell ref="O4:P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EC1B0-6C89-4ECC-8BB8-833535AEBFA7}">
  <sheetPr>
    <tabColor rgb="FF7030A0"/>
  </sheetPr>
  <dimension ref="B2:K10"/>
  <sheetViews>
    <sheetView zoomScaleNormal="100" workbookViewId="0">
      <selection activeCell="B10" sqref="B10"/>
    </sheetView>
  </sheetViews>
  <sheetFormatPr baseColWidth="10" defaultColWidth="11.44140625" defaultRowHeight="14.4" x14ac:dyDescent="0.3"/>
  <cols>
    <col min="1" max="1" width="2.44140625" style="1" customWidth="1"/>
    <col min="2" max="2" width="10.33203125" style="56" bestFit="1" customWidth="1"/>
    <col min="3" max="3" width="19.88671875" style="56" customWidth="1"/>
    <col min="4" max="4" width="24.6640625" style="56" customWidth="1"/>
    <col min="5" max="6" width="12.44140625" style="1" customWidth="1"/>
    <col min="7" max="7" width="1.21875" style="1" customWidth="1"/>
    <col min="8" max="8" width="7.44140625" style="1" bestFit="1" customWidth="1"/>
    <col min="9" max="9" width="1.21875" style="1" customWidth="1"/>
    <col min="10" max="10" width="34.21875" style="1" customWidth="1"/>
    <col min="11" max="16384" width="11.44140625" style="1"/>
  </cols>
  <sheetData>
    <row r="2" spans="2:11" ht="18" x14ac:dyDescent="0.35">
      <c r="B2" s="86" t="s">
        <v>247</v>
      </c>
    </row>
    <row r="3" spans="2:11" ht="18" x14ac:dyDescent="0.35">
      <c r="B3" s="86"/>
    </row>
    <row r="4" spans="2:11" ht="14.4" customHeight="1" x14ac:dyDescent="0.3">
      <c r="B4" s="863" t="s">
        <v>248</v>
      </c>
      <c r="C4" s="864"/>
      <c r="D4" s="865"/>
    </row>
    <row r="5" spans="2:11" s="9" customFormat="1" ht="28.8" x14ac:dyDescent="0.3">
      <c r="B5" s="235" t="s">
        <v>250</v>
      </c>
      <c r="C5" s="236" t="s">
        <v>251</v>
      </c>
      <c r="D5" s="236" t="s">
        <v>56</v>
      </c>
      <c r="E5" s="236" t="s">
        <v>257</v>
      </c>
      <c r="F5" s="237" t="s">
        <v>196</v>
      </c>
      <c r="G5" s="866"/>
      <c r="H5" s="236" t="s">
        <v>1</v>
      </c>
      <c r="I5" s="866"/>
      <c r="J5" s="238" t="s">
        <v>130</v>
      </c>
      <c r="K5" s="239"/>
    </row>
    <row r="6" spans="2:11" x14ac:dyDescent="0.3">
      <c r="B6" s="58" t="s">
        <v>213</v>
      </c>
      <c r="C6" s="233" t="s">
        <v>113</v>
      </c>
      <c r="D6" s="62" t="s">
        <v>252</v>
      </c>
      <c r="E6" s="6">
        <v>10</v>
      </c>
      <c r="F6" s="6">
        <v>0</v>
      </c>
      <c r="G6" s="867"/>
      <c r="H6" s="122"/>
      <c r="I6" s="867"/>
      <c r="J6" s="53" t="s">
        <v>255</v>
      </c>
    </row>
    <row r="7" spans="2:11" s="9" customFormat="1" ht="28.8" x14ac:dyDescent="0.3">
      <c r="B7" s="52" t="s">
        <v>249</v>
      </c>
      <c r="C7" s="52" t="s">
        <v>254</v>
      </c>
      <c r="D7" s="63" t="s">
        <v>253</v>
      </c>
      <c r="E7" s="18">
        <v>0</v>
      </c>
      <c r="F7" s="18">
        <v>40</v>
      </c>
      <c r="G7" s="867"/>
      <c r="H7" s="123"/>
      <c r="I7" s="867"/>
      <c r="J7" s="234" t="s">
        <v>256</v>
      </c>
    </row>
    <row r="8" spans="2:11" s="9" customFormat="1" x14ac:dyDescent="0.3">
      <c r="B8" s="77" t="s">
        <v>99</v>
      </c>
      <c r="C8" s="77"/>
      <c r="D8" s="78"/>
      <c r="E8" s="79">
        <f>SUM(E6:E7)</f>
        <v>10</v>
      </c>
      <c r="F8" s="79">
        <v>40</v>
      </c>
      <c r="G8" s="868"/>
      <c r="H8" s="125">
        <v>150</v>
      </c>
      <c r="I8" s="868"/>
      <c r="J8" s="83"/>
    </row>
    <row r="10" spans="2:11" x14ac:dyDescent="0.3">
      <c r="B10" s="56" t="s">
        <v>258</v>
      </c>
    </row>
  </sheetData>
  <mergeCells count="3">
    <mergeCell ref="B4:D4"/>
    <mergeCell ref="G5:G8"/>
    <mergeCell ref="I5:I8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24E0-E1BE-445B-A33E-C2F3C63E6CF0}">
  <dimension ref="B2:AX7"/>
  <sheetViews>
    <sheetView zoomScale="85" zoomScaleNormal="85" workbookViewId="0">
      <selection activeCell="AX7" sqref="AX7"/>
    </sheetView>
  </sheetViews>
  <sheetFormatPr baseColWidth="10" defaultColWidth="11.44140625" defaultRowHeight="14.4" x14ac:dyDescent="0.3"/>
  <cols>
    <col min="1" max="1" width="2.44140625" style="1" customWidth="1"/>
    <col min="2" max="2" width="11.5546875" style="1" customWidth="1"/>
    <col min="3" max="3" width="9.21875" style="1" customWidth="1"/>
    <col min="4" max="31" width="4.6640625" style="1" customWidth="1"/>
    <col min="32" max="32" width="1.88671875" style="1" customWidth="1"/>
    <col min="33" max="33" width="6.33203125" style="1" bestFit="1" customWidth="1"/>
    <col min="34" max="34" width="7.21875" style="1" bestFit="1" customWidth="1"/>
    <col min="35" max="35" width="1.88671875" style="1" customWidth="1"/>
    <col min="36" max="36" width="11" style="1" bestFit="1" customWidth="1"/>
    <col min="37" max="37" width="1.88671875" style="1" customWidth="1"/>
    <col min="38" max="38" width="10.44140625" style="1" bestFit="1" customWidth="1"/>
    <col min="39" max="39" width="14.33203125" style="1" customWidth="1"/>
    <col min="40" max="40" width="1.88671875" style="1" customWidth="1"/>
    <col min="41" max="42" width="11.33203125" style="1" customWidth="1"/>
    <col min="43" max="43" width="12.109375" style="1" bestFit="1" customWidth="1"/>
    <col min="44" max="44" width="1.88671875" style="1" customWidth="1"/>
    <col min="45" max="45" width="13.77734375" style="1" bestFit="1" customWidth="1"/>
    <col min="46" max="47" width="1.88671875" style="1" customWidth="1"/>
    <col min="48" max="48" width="12.33203125" style="1" bestFit="1" customWidth="1"/>
    <col min="49" max="16384" width="11.44140625" style="1"/>
  </cols>
  <sheetData>
    <row r="2" spans="2:50" x14ac:dyDescent="0.3">
      <c r="B2" s="1" t="s">
        <v>37</v>
      </c>
      <c r="P2" s="1" t="s">
        <v>133</v>
      </c>
    </row>
    <row r="3" spans="2:50" x14ac:dyDescent="0.3">
      <c r="B3" s="215"/>
      <c r="C3" s="215" t="s">
        <v>238</v>
      </c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6"/>
    </row>
    <row r="4" spans="2:50" ht="28.8" x14ac:dyDescent="0.3">
      <c r="B4" s="14" t="s">
        <v>36</v>
      </c>
      <c r="C4" s="15"/>
      <c r="D4" s="724">
        <v>1.2024999999999999</v>
      </c>
      <c r="E4" s="725"/>
      <c r="F4" s="724">
        <v>12.202400000000001</v>
      </c>
      <c r="G4" s="725"/>
      <c r="H4" s="724">
        <v>11.202400000000001</v>
      </c>
      <c r="I4" s="725"/>
      <c r="J4" s="724">
        <v>10.202400000000001</v>
      </c>
      <c r="K4" s="725"/>
      <c r="L4" s="724">
        <v>9.2240000000000002</v>
      </c>
      <c r="M4" s="725"/>
      <c r="N4" s="724">
        <v>8.2024000000000008</v>
      </c>
      <c r="O4" s="725"/>
      <c r="P4" s="724">
        <v>7.2023999999999999</v>
      </c>
      <c r="Q4" s="725"/>
      <c r="R4" s="724">
        <v>6.2023999999999999</v>
      </c>
      <c r="S4" s="726"/>
      <c r="T4" s="724">
        <v>5.2023999999999999</v>
      </c>
      <c r="U4" s="725"/>
      <c r="V4" s="726">
        <v>4.2023999999999999</v>
      </c>
      <c r="W4" s="725"/>
      <c r="X4" s="724">
        <v>3.2023999999999999</v>
      </c>
      <c r="Y4" s="725"/>
      <c r="Z4" s="724">
        <v>2.2023999999999999</v>
      </c>
      <c r="AA4" s="725"/>
      <c r="AB4" s="724">
        <v>1.2023999999999999</v>
      </c>
      <c r="AC4" s="725"/>
      <c r="AD4" s="724">
        <v>12.202299999999999</v>
      </c>
      <c r="AE4" s="725"/>
      <c r="AF4" s="16"/>
      <c r="AG4" s="724" t="s">
        <v>327</v>
      </c>
      <c r="AH4" s="725"/>
      <c r="AI4" s="16"/>
      <c r="AJ4" s="16" t="s">
        <v>3</v>
      </c>
      <c r="AK4" s="16"/>
      <c r="AL4" s="16" t="s">
        <v>91</v>
      </c>
      <c r="AM4" s="204" t="s">
        <v>209</v>
      </c>
      <c r="AN4" s="16"/>
      <c r="AO4" s="16" t="s">
        <v>43</v>
      </c>
      <c r="AP4" s="16" t="s">
        <v>50</v>
      </c>
      <c r="AQ4" s="16" t="s">
        <v>45</v>
      </c>
      <c r="AR4" s="16"/>
      <c r="AS4" s="16" t="s">
        <v>40</v>
      </c>
      <c r="AT4" s="16"/>
      <c r="AU4" s="16"/>
      <c r="AV4" s="17" t="s">
        <v>35</v>
      </c>
    </row>
    <row r="5" spans="2:50" s="9" customFormat="1" x14ac:dyDescent="0.3">
      <c r="B5" s="36"/>
      <c r="C5" s="389"/>
      <c r="D5" s="34" t="s">
        <v>41</v>
      </c>
      <c r="E5" s="35" t="s">
        <v>42</v>
      </c>
      <c r="F5" s="34" t="s">
        <v>41</v>
      </c>
      <c r="G5" s="35" t="s">
        <v>42</v>
      </c>
      <c r="H5" s="34" t="s">
        <v>41</v>
      </c>
      <c r="I5" s="35" t="s">
        <v>42</v>
      </c>
      <c r="J5" s="34" t="s">
        <v>41</v>
      </c>
      <c r="K5" s="35" t="s">
        <v>42</v>
      </c>
      <c r="L5" s="34" t="s">
        <v>41</v>
      </c>
      <c r="M5" s="35" t="s">
        <v>42</v>
      </c>
      <c r="N5" s="34" t="s">
        <v>41</v>
      </c>
      <c r="O5" s="35" t="s">
        <v>42</v>
      </c>
      <c r="P5" s="34" t="s">
        <v>41</v>
      </c>
      <c r="Q5" s="35" t="s">
        <v>42</v>
      </c>
      <c r="R5" s="392" t="s">
        <v>41</v>
      </c>
      <c r="S5" s="395" t="s">
        <v>42</v>
      </c>
      <c r="T5" s="34" t="s">
        <v>41</v>
      </c>
      <c r="U5" s="35" t="s">
        <v>42</v>
      </c>
      <c r="V5" s="392" t="s">
        <v>41</v>
      </c>
      <c r="W5" s="35" t="s">
        <v>42</v>
      </c>
      <c r="X5" s="34" t="s">
        <v>41</v>
      </c>
      <c r="Y5" s="35" t="s">
        <v>42</v>
      </c>
      <c r="Z5" s="34" t="s">
        <v>41</v>
      </c>
      <c r="AA5" s="35" t="s">
        <v>42</v>
      </c>
      <c r="AB5" s="34" t="s">
        <v>41</v>
      </c>
      <c r="AC5" s="35" t="s">
        <v>42</v>
      </c>
      <c r="AD5" s="34" t="s">
        <v>41</v>
      </c>
      <c r="AE5" s="35" t="s">
        <v>42</v>
      </c>
      <c r="AF5" s="7" t="s">
        <v>326</v>
      </c>
      <c r="AG5" s="34" t="s">
        <v>328</v>
      </c>
      <c r="AH5" s="35" t="s">
        <v>329</v>
      </c>
      <c r="AI5" s="7"/>
      <c r="AJ5" s="37"/>
      <c r="AK5" s="7"/>
      <c r="AL5" s="38"/>
      <c r="AM5" s="38"/>
      <c r="AN5" s="7"/>
      <c r="AO5" s="38" t="s">
        <v>44</v>
      </c>
      <c r="AP5" s="38" t="s">
        <v>44</v>
      </c>
      <c r="AQ5" s="38" t="s">
        <v>44</v>
      </c>
      <c r="AR5" s="7"/>
      <c r="AS5" s="37"/>
      <c r="AT5" s="7"/>
      <c r="AU5" s="7"/>
      <c r="AV5" s="39"/>
    </row>
    <row r="6" spans="2:50" s="9" customFormat="1" x14ac:dyDescent="0.3">
      <c r="B6" s="5" t="s">
        <v>38</v>
      </c>
      <c r="C6" s="390" t="s">
        <v>39</v>
      </c>
      <c r="D6" s="5">
        <v>19</v>
      </c>
      <c r="E6" s="393">
        <v>6</v>
      </c>
      <c r="F6" s="5">
        <v>0</v>
      </c>
      <c r="G6" s="393">
        <v>0</v>
      </c>
      <c r="H6" s="5">
        <v>2</v>
      </c>
      <c r="I6" s="393">
        <v>5</v>
      </c>
      <c r="J6" s="5">
        <v>0</v>
      </c>
      <c r="K6" s="393">
        <v>0</v>
      </c>
      <c r="L6" s="5">
        <v>11</v>
      </c>
      <c r="M6" s="393">
        <v>2</v>
      </c>
      <c r="N6" s="5">
        <v>6</v>
      </c>
      <c r="O6" s="393">
        <v>1</v>
      </c>
      <c r="P6" s="5">
        <v>14</v>
      </c>
      <c r="Q6" s="393">
        <v>3</v>
      </c>
      <c r="R6" s="12">
        <v>5</v>
      </c>
      <c r="S6" s="390">
        <v>2</v>
      </c>
      <c r="T6" s="5">
        <v>4</v>
      </c>
      <c r="U6" s="393">
        <v>2</v>
      </c>
      <c r="V6" s="12">
        <v>3</v>
      </c>
      <c r="W6" s="12">
        <v>1</v>
      </c>
      <c r="X6" s="25">
        <v>10</v>
      </c>
      <c r="Y6" s="26">
        <v>5</v>
      </c>
      <c r="Z6" s="25">
        <v>14</v>
      </c>
      <c r="AA6" s="26">
        <v>5</v>
      </c>
      <c r="AB6" s="25">
        <v>7</v>
      </c>
      <c r="AC6" s="26">
        <v>2</v>
      </c>
      <c r="AD6" s="25">
        <v>3</v>
      </c>
      <c r="AE6" s="26">
        <v>1</v>
      </c>
      <c r="AF6" s="7"/>
      <c r="AG6" s="25">
        <f>N6+P6+R6+T6+V6+X6+Z6+AB6+AD6+L6+J6+H6+F6+D6</f>
        <v>98</v>
      </c>
      <c r="AH6" s="26">
        <f>AE6+AC6+AA6+Y6+W6+U6+S6+Q6+O6+M6+K6+I6+G6+E6</f>
        <v>35</v>
      </c>
      <c r="AI6" s="7"/>
      <c r="AJ6" s="6">
        <v>111</v>
      </c>
      <c r="AK6" s="7"/>
      <c r="AL6" s="88">
        <f>AG6/13</f>
        <v>7.5384615384615383</v>
      </c>
      <c r="AM6" s="88">
        <f>AG6/AH6</f>
        <v>2.8</v>
      </c>
      <c r="AN6" s="7"/>
      <c r="AO6" s="23">
        <f>AL6*6</f>
        <v>45.230769230769226</v>
      </c>
      <c r="AP6" s="23">
        <f>AL6*9</f>
        <v>67.84615384615384</v>
      </c>
      <c r="AQ6" s="23">
        <f>AL6*12</f>
        <v>90.461538461538453</v>
      </c>
      <c r="AR6" s="7"/>
      <c r="AS6" s="6">
        <v>180</v>
      </c>
      <c r="AT6" s="7"/>
      <c r="AU6" s="7"/>
      <c r="AV6" s="24"/>
      <c r="AX6" s="9" t="s">
        <v>49</v>
      </c>
    </row>
    <row r="7" spans="2:50" s="9" customFormat="1" x14ac:dyDescent="0.3">
      <c r="B7" s="27" t="s">
        <v>47</v>
      </c>
      <c r="C7" s="391" t="s">
        <v>46</v>
      </c>
      <c r="D7" s="27">
        <v>0</v>
      </c>
      <c r="E7" s="394">
        <v>0</v>
      </c>
      <c r="F7" s="27">
        <v>6</v>
      </c>
      <c r="G7" s="394">
        <v>1</v>
      </c>
      <c r="H7" s="27">
        <v>2</v>
      </c>
      <c r="I7" s="394">
        <v>4</v>
      </c>
      <c r="J7" s="27">
        <v>0</v>
      </c>
      <c r="K7" s="394">
        <v>0</v>
      </c>
      <c r="L7" s="27">
        <v>9</v>
      </c>
      <c r="M7" s="394">
        <v>4</v>
      </c>
      <c r="N7" s="27">
        <v>2</v>
      </c>
      <c r="O7" s="394">
        <v>1</v>
      </c>
      <c r="P7" s="27">
        <v>2</v>
      </c>
      <c r="Q7" s="394">
        <v>1</v>
      </c>
      <c r="R7" s="28">
        <v>0</v>
      </c>
      <c r="S7" s="391">
        <v>0</v>
      </c>
      <c r="T7" s="27">
        <v>2</v>
      </c>
      <c r="U7" s="394">
        <v>2</v>
      </c>
      <c r="V7" s="28">
        <v>2</v>
      </c>
      <c r="W7" s="28">
        <v>1</v>
      </c>
      <c r="X7" s="29">
        <v>0</v>
      </c>
      <c r="Y7" s="30">
        <v>0</v>
      </c>
      <c r="Z7" s="29">
        <v>18</v>
      </c>
      <c r="AA7" s="30">
        <v>5</v>
      </c>
      <c r="AB7" s="29">
        <v>43</v>
      </c>
      <c r="AC7" s="30">
        <v>2</v>
      </c>
      <c r="AD7" s="29">
        <v>0</v>
      </c>
      <c r="AE7" s="30">
        <v>0</v>
      </c>
      <c r="AF7" s="31"/>
      <c r="AG7" s="29">
        <f>N7+P7+R7+T7+V7+X7+Z7+AB7+AD7+L7+J7+H7+F7+D7</f>
        <v>86</v>
      </c>
      <c r="AH7" s="30">
        <f>AE7+AC7+AA7+Y7+W7+U7+S7+Q7+O7+M7+K7+I7+G7+E7</f>
        <v>21</v>
      </c>
      <c r="AI7" s="31"/>
      <c r="AJ7" s="32">
        <v>113</v>
      </c>
      <c r="AK7" s="31"/>
      <c r="AL7" s="87">
        <f>AG7/13</f>
        <v>6.615384615384615</v>
      </c>
      <c r="AM7" s="87">
        <f>AG7/AH7</f>
        <v>4.0952380952380949</v>
      </c>
      <c r="AN7" s="45"/>
      <c r="AO7" s="41">
        <f>AL7*6</f>
        <v>39.692307692307693</v>
      </c>
      <c r="AP7" s="41">
        <f>AL7*9</f>
        <v>59.538461538461533</v>
      </c>
      <c r="AQ7" s="41">
        <f>AL7*12</f>
        <v>79.384615384615387</v>
      </c>
      <c r="AR7" s="31"/>
      <c r="AS7" s="32">
        <v>180</v>
      </c>
      <c r="AT7" s="31"/>
      <c r="AU7" s="31"/>
      <c r="AV7" s="33"/>
      <c r="AW7" s="40"/>
      <c r="AX7" s="9" t="s">
        <v>48</v>
      </c>
    </row>
  </sheetData>
  <mergeCells count="15">
    <mergeCell ref="D4:E4"/>
    <mergeCell ref="F4:G4"/>
    <mergeCell ref="H4:I4"/>
    <mergeCell ref="AG4:AH4"/>
    <mergeCell ref="T4:U4"/>
    <mergeCell ref="Z4:AA4"/>
    <mergeCell ref="AD4:AE4"/>
    <mergeCell ref="AB4:AC4"/>
    <mergeCell ref="X4:Y4"/>
    <mergeCell ref="V4:W4"/>
    <mergeCell ref="N4:O4"/>
    <mergeCell ref="J4:K4"/>
    <mergeCell ref="L4:M4"/>
    <mergeCell ref="P4:Q4"/>
    <mergeCell ref="R4:S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BA75-AA06-4208-A6C6-A26FF6B027DD}">
  <dimension ref="A2:U18"/>
  <sheetViews>
    <sheetView tabSelected="1" topLeftCell="A7" zoomScale="98" zoomScaleNormal="98" workbookViewId="0">
      <selection activeCell="A7" sqref="A7:A9"/>
    </sheetView>
  </sheetViews>
  <sheetFormatPr baseColWidth="10" defaultColWidth="11.44140625" defaultRowHeight="14.4" x14ac:dyDescent="0.3"/>
  <cols>
    <col min="1" max="1" width="5.5546875" style="1" bestFit="1" customWidth="1"/>
    <col min="2" max="2" width="24.44140625" style="56" bestFit="1" customWidth="1"/>
    <col min="3" max="3" width="24.33203125" style="56" customWidth="1"/>
    <col min="4" max="8" width="7.88671875" style="1" customWidth="1"/>
    <col min="9" max="9" width="1.88671875" style="1" customWidth="1"/>
    <col min="10" max="10" width="10.21875" style="1" bestFit="1" customWidth="1"/>
    <col min="11" max="11" width="10.21875" style="1" customWidth="1"/>
    <col min="12" max="12" width="1.88671875" style="1" customWidth="1"/>
    <col min="13" max="14" width="11.33203125" style="1" customWidth="1"/>
    <col min="15" max="15" width="1.88671875" style="1" customWidth="1"/>
    <col min="16" max="16" width="14.109375" style="1" bestFit="1" customWidth="1"/>
    <col min="17" max="17" width="16.44140625" style="1" customWidth="1"/>
    <col min="18" max="18" width="1.88671875" style="1" customWidth="1"/>
    <col min="19" max="20" width="12.33203125" style="1" bestFit="1" customWidth="1"/>
    <col min="21" max="21" width="61.5546875" style="1" bestFit="1" customWidth="1"/>
    <col min="22" max="16384" width="11.44140625" style="1"/>
  </cols>
  <sheetData>
    <row r="2" spans="1:21" x14ac:dyDescent="0.3">
      <c r="B2" s="56" t="s">
        <v>249</v>
      </c>
    </row>
    <row r="3" spans="1:21" x14ac:dyDescent="0.3">
      <c r="B3" s="56" t="s">
        <v>260</v>
      </c>
      <c r="U3" s="1" t="s">
        <v>325</v>
      </c>
    </row>
    <row r="5" spans="1:21" ht="14.4" customHeight="1" x14ac:dyDescent="0.3">
      <c r="B5" s="556" t="s">
        <v>249</v>
      </c>
      <c r="C5" s="557"/>
      <c r="D5" s="721" t="s">
        <v>54</v>
      </c>
      <c r="E5" s="722"/>
      <c r="F5" s="722"/>
      <c r="G5" s="722"/>
      <c r="H5" s="723"/>
      <c r="I5" s="164"/>
      <c r="J5" s="554" t="s">
        <v>3</v>
      </c>
      <c r="K5" s="554" t="s">
        <v>57</v>
      </c>
      <c r="L5" s="164"/>
      <c r="M5" s="554" t="s">
        <v>1</v>
      </c>
      <c r="N5" s="554" t="s">
        <v>2</v>
      </c>
      <c r="O5" s="164"/>
      <c r="P5" s="126" t="s">
        <v>203</v>
      </c>
      <c r="Q5" s="126" t="s">
        <v>263</v>
      </c>
      <c r="R5" s="164"/>
      <c r="S5" s="558" t="s">
        <v>35</v>
      </c>
      <c r="T5" s="560" t="s">
        <v>62</v>
      </c>
      <c r="U5" s="560" t="s">
        <v>162</v>
      </c>
    </row>
    <row r="6" spans="1:21" x14ac:dyDescent="0.3">
      <c r="B6" s="66" t="s">
        <v>56</v>
      </c>
      <c r="C6" s="515" t="s">
        <v>55</v>
      </c>
      <c r="D6" s="68">
        <v>2025</v>
      </c>
      <c r="E6" s="68">
        <v>2024</v>
      </c>
      <c r="F6" s="68">
        <v>2023</v>
      </c>
      <c r="G6" s="68">
        <v>2022</v>
      </c>
      <c r="H6" s="68">
        <v>2021</v>
      </c>
      <c r="I6" s="165"/>
      <c r="J6" s="555"/>
      <c r="K6" s="555"/>
      <c r="L6" s="165"/>
      <c r="M6" s="555" t="s">
        <v>445</v>
      </c>
      <c r="N6" s="555"/>
      <c r="O6" s="165"/>
      <c r="P6" s="555"/>
      <c r="Q6" s="555"/>
      <c r="R6" s="165"/>
      <c r="S6" s="559"/>
      <c r="T6" s="561"/>
      <c r="U6" s="561"/>
    </row>
    <row r="7" spans="1:21" s="9" customFormat="1" ht="14.4" customHeight="1" x14ac:dyDescent="0.3">
      <c r="A7" s="727">
        <v>25.02</v>
      </c>
      <c r="B7" s="58" t="s">
        <v>261</v>
      </c>
      <c r="C7" s="472" t="s">
        <v>113</v>
      </c>
      <c r="D7" s="6"/>
      <c r="E7" s="6">
        <f>6+83</f>
        <v>89</v>
      </c>
      <c r="F7" s="6">
        <v>138</v>
      </c>
      <c r="G7" s="6">
        <v>503</v>
      </c>
      <c r="H7" s="6">
        <v>331</v>
      </c>
      <c r="I7" s="7"/>
      <c r="J7" s="6">
        <v>0</v>
      </c>
      <c r="K7" s="6">
        <v>0</v>
      </c>
      <c r="L7" s="7"/>
      <c r="M7" s="8"/>
      <c r="N7" s="47"/>
      <c r="O7" s="7"/>
      <c r="P7" s="8"/>
      <c r="Q7" s="8"/>
      <c r="R7" s="7"/>
      <c r="S7" s="48"/>
      <c r="T7" s="53"/>
      <c r="U7" s="53"/>
    </row>
    <row r="8" spans="1:21" s="9" customFormat="1" ht="14.4" customHeight="1" x14ac:dyDescent="0.3">
      <c r="A8" s="727"/>
      <c r="B8" s="59" t="s">
        <v>262</v>
      </c>
      <c r="C8" s="63" t="s">
        <v>264</v>
      </c>
      <c r="D8" s="42">
        <f>15+8+30</f>
        <v>53</v>
      </c>
      <c r="E8" s="42">
        <v>41</v>
      </c>
      <c r="F8" s="42">
        <v>0</v>
      </c>
      <c r="G8" s="42">
        <v>0</v>
      </c>
      <c r="H8" s="42">
        <v>0</v>
      </c>
      <c r="I8" s="19"/>
      <c r="J8" s="18">
        <v>14</v>
      </c>
      <c r="K8" s="18">
        <v>0</v>
      </c>
      <c r="L8" s="19"/>
      <c r="M8" s="50"/>
      <c r="N8" s="49"/>
      <c r="O8" s="19"/>
      <c r="P8" s="50" t="s">
        <v>398</v>
      </c>
      <c r="Q8" s="50" t="s">
        <v>509</v>
      </c>
      <c r="R8" s="19"/>
      <c r="S8" s="51"/>
      <c r="T8" s="54"/>
      <c r="U8" s="386" t="s">
        <v>421</v>
      </c>
    </row>
    <row r="9" spans="1:21" s="100" customFormat="1" ht="28.8" x14ac:dyDescent="0.3">
      <c r="A9" s="727"/>
      <c r="B9" s="257" t="s">
        <v>99</v>
      </c>
      <c r="C9" s="258"/>
      <c r="D9" s="259">
        <f>SUM(D7:D8)</f>
        <v>53</v>
      </c>
      <c r="E9" s="259">
        <f>SUM(E7:E8)</f>
        <v>130</v>
      </c>
      <c r="F9" s="259">
        <f t="shared" ref="F9:H9" si="0">SUM(F7:F8)</f>
        <v>138</v>
      </c>
      <c r="G9" s="259">
        <f t="shared" si="0"/>
        <v>503</v>
      </c>
      <c r="H9" s="259">
        <f t="shared" si="0"/>
        <v>331</v>
      </c>
      <c r="I9" s="687"/>
      <c r="J9" s="259">
        <f>SUM(J7:J8)</f>
        <v>14</v>
      </c>
      <c r="K9" s="259">
        <f>SUM(K7:K8)</f>
        <v>0</v>
      </c>
      <c r="L9" s="687"/>
      <c r="M9" s="260">
        <f>SUM(E9:G9)/3</f>
        <v>257</v>
      </c>
      <c r="N9" s="261">
        <f>(SUM(D9:G9)/37.5)</f>
        <v>21.973333333333333</v>
      </c>
      <c r="O9" s="687"/>
      <c r="P9" s="260">
        <f>N9*2</f>
        <v>43.946666666666665</v>
      </c>
      <c r="Q9" s="260">
        <f>N9*2.5</f>
        <v>54.93333333333333</v>
      </c>
      <c r="R9" s="687"/>
      <c r="S9" s="262">
        <f>P9-(J9+K9)</f>
        <v>29.946666666666665</v>
      </c>
      <c r="T9" s="263">
        <v>36</v>
      </c>
      <c r="U9" s="688" t="s">
        <v>510</v>
      </c>
    </row>
    <row r="10" spans="1:21" s="9" customFormat="1" ht="14.4" customHeight="1" x14ac:dyDescent="0.3">
      <c r="B10" s="551"/>
      <c r="C10" s="552"/>
      <c r="D10" s="552"/>
      <c r="E10" s="552"/>
      <c r="F10" s="552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3"/>
    </row>
    <row r="11" spans="1:21" s="9" customFormat="1" ht="14.4" customHeight="1" x14ac:dyDescent="0.3">
      <c r="B11" s="59" t="s">
        <v>312</v>
      </c>
      <c r="C11" s="63">
        <v>6110146</v>
      </c>
      <c r="D11" s="42"/>
      <c r="E11" s="42">
        <v>35</v>
      </c>
      <c r="F11" s="42">
        <v>42</v>
      </c>
      <c r="G11" s="42">
        <v>20</v>
      </c>
      <c r="H11" s="42">
        <v>38</v>
      </c>
      <c r="I11" s="19"/>
      <c r="J11" s="18">
        <v>0</v>
      </c>
      <c r="K11" s="18">
        <v>0</v>
      </c>
      <c r="L11" s="19"/>
      <c r="M11" s="50">
        <f>(SUM(E11:G11)/3)</f>
        <v>32.333333333333336</v>
      </c>
      <c r="N11" s="49">
        <f>(SUM(D11:H11)/43)</f>
        <v>3.13953488372093</v>
      </c>
      <c r="O11" s="19"/>
      <c r="P11" s="50"/>
      <c r="Q11" s="50"/>
      <c r="R11" s="19"/>
      <c r="S11" s="51"/>
      <c r="T11" s="54"/>
      <c r="U11" s="54"/>
    </row>
    <row r="12" spans="1:21" s="9" customFormat="1" ht="14.4" customHeight="1" x14ac:dyDescent="0.3">
      <c r="B12" s="59" t="s">
        <v>314</v>
      </c>
      <c r="C12" s="63" t="s">
        <v>313</v>
      </c>
      <c r="D12" s="18"/>
      <c r="E12" s="18">
        <v>2</v>
      </c>
      <c r="F12" s="18">
        <v>0</v>
      </c>
      <c r="G12" s="18">
        <v>0</v>
      </c>
      <c r="H12" s="18">
        <v>0</v>
      </c>
      <c r="I12" s="19"/>
      <c r="J12" s="18">
        <v>-2</v>
      </c>
      <c r="K12" s="18">
        <v>7</v>
      </c>
      <c r="L12" s="19"/>
      <c r="M12" s="50">
        <f>(SUM(E12:G12)/3)</f>
        <v>0.66666666666666663</v>
      </c>
      <c r="N12" s="49">
        <f>((SUM(E12:H12))/38)</f>
        <v>5.2631578947368418E-2</v>
      </c>
      <c r="O12" s="19"/>
      <c r="P12" s="50"/>
      <c r="Q12" s="50"/>
      <c r="R12" s="19"/>
      <c r="S12" s="51"/>
      <c r="T12" s="54"/>
      <c r="U12" s="386">
        <v>202.62</v>
      </c>
    </row>
    <row r="13" spans="1:21" s="9" customFormat="1" ht="14.4" customHeight="1" x14ac:dyDescent="0.3">
      <c r="B13" s="250" t="s">
        <v>99</v>
      </c>
      <c r="C13" s="251"/>
      <c r="D13" s="252"/>
      <c r="E13" s="252">
        <f>SUM(E11:E12)</f>
        <v>37</v>
      </c>
      <c r="F13" s="252">
        <f t="shared" ref="F13:H15" si="1">SUM(F11:F12)</f>
        <v>42</v>
      </c>
      <c r="G13" s="252">
        <f t="shared" si="1"/>
        <v>20</v>
      </c>
      <c r="H13" s="252">
        <f t="shared" si="1"/>
        <v>38</v>
      </c>
      <c r="I13" s="19"/>
      <c r="J13" s="252">
        <f>SUM(J11:J12)</f>
        <v>-2</v>
      </c>
      <c r="K13" s="252">
        <f>SUM(K11:K12)</f>
        <v>7</v>
      </c>
      <c r="L13" s="19"/>
      <c r="M13" s="253">
        <f>SUM(E13:G13)/3</f>
        <v>33</v>
      </c>
      <c r="N13" s="254">
        <f>(SUM(E13:H13)/45.5)</f>
        <v>3.0109890109890109</v>
      </c>
      <c r="O13" s="19"/>
      <c r="P13" s="429">
        <f>N13*2</f>
        <v>6.0219780219780219</v>
      </c>
      <c r="Q13" s="429">
        <f>N13*2.5</f>
        <v>7.5274725274725274</v>
      </c>
      <c r="R13" s="19"/>
      <c r="S13" s="255">
        <f>Q13-(J13+K13)</f>
        <v>2.5274725274725274</v>
      </c>
      <c r="T13" s="256"/>
      <c r="U13" s="387"/>
    </row>
    <row r="14" spans="1:21" s="9" customFormat="1" ht="6.6" customHeight="1" x14ac:dyDescent="0.3">
      <c r="B14" s="59"/>
      <c r="C14" s="63"/>
      <c r="D14" s="18"/>
      <c r="E14" s="18"/>
      <c r="F14" s="18"/>
      <c r="G14" s="18"/>
      <c r="H14" s="18"/>
      <c r="I14" s="19"/>
      <c r="J14" s="18"/>
      <c r="K14" s="18"/>
      <c r="L14" s="19"/>
      <c r="M14" s="50"/>
      <c r="N14" s="49"/>
      <c r="O14" s="19"/>
      <c r="P14" s="430"/>
      <c r="Q14" s="430"/>
      <c r="R14" s="19"/>
      <c r="S14" s="51"/>
      <c r="T14" s="54"/>
      <c r="U14" s="54"/>
    </row>
    <row r="15" spans="1:21" s="9" customFormat="1" ht="14.4" customHeight="1" x14ac:dyDescent="0.3">
      <c r="B15" s="250" t="s">
        <v>99</v>
      </c>
      <c r="C15" s="251"/>
      <c r="D15" s="252"/>
      <c r="E15" s="252">
        <f>SUM(E13:E14)</f>
        <v>37</v>
      </c>
      <c r="F15" s="252">
        <f t="shared" si="1"/>
        <v>42</v>
      </c>
      <c r="G15" s="252">
        <f t="shared" si="1"/>
        <v>20</v>
      </c>
      <c r="H15" s="252">
        <f t="shared" si="1"/>
        <v>38</v>
      </c>
      <c r="I15" s="19"/>
      <c r="J15" s="252">
        <f>SUM(J13:J14)</f>
        <v>-2</v>
      </c>
      <c r="K15" s="252">
        <f>SUM(K13:K14)</f>
        <v>7</v>
      </c>
      <c r="L15" s="19"/>
      <c r="M15" s="253">
        <f>SUM(E15:G15)/3</f>
        <v>33</v>
      </c>
      <c r="N15" s="254">
        <f>(SUM(E15:H15)/45.5)</f>
        <v>3.0109890109890109</v>
      </c>
      <c r="O15" s="19"/>
      <c r="P15" s="429">
        <f>N15*3</f>
        <v>9.0329670329670328</v>
      </c>
      <c r="Q15" s="429">
        <f>N15*5</f>
        <v>15.054945054945055</v>
      </c>
      <c r="R15" s="19"/>
      <c r="S15" s="255">
        <f>Q15-(J15+K15)</f>
        <v>10.054945054945055</v>
      </c>
      <c r="T15" s="256">
        <v>10</v>
      </c>
      <c r="U15" s="387"/>
    </row>
    <row r="16" spans="1:21" s="9" customFormat="1" ht="14.4" customHeight="1" x14ac:dyDescent="0.3">
      <c r="B16" s="59"/>
      <c r="C16" s="63"/>
      <c r="D16" s="18"/>
      <c r="E16" s="18"/>
      <c r="F16" s="18"/>
      <c r="G16" s="18"/>
      <c r="H16" s="18"/>
      <c r="I16" s="19"/>
      <c r="J16" s="18"/>
      <c r="K16" s="18"/>
      <c r="L16" s="19"/>
      <c r="M16" s="50"/>
      <c r="N16" s="49"/>
      <c r="O16" s="19"/>
      <c r="P16" s="50"/>
      <c r="Q16" s="50"/>
      <c r="R16" s="19"/>
      <c r="S16" s="51"/>
      <c r="T16" s="54"/>
      <c r="U16" s="388" t="e">
        <f>U13+U9</f>
        <v>#VALUE!</v>
      </c>
    </row>
    <row r="17" spans="2:21" s="9" customFormat="1" ht="14.4" customHeight="1" x14ac:dyDescent="0.3">
      <c r="B17" s="59"/>
      <c r="C17" s="63"/>
      <c r="D17" s="18"/>
      <c r="E17" s="18"/>
      <c r="F17" s="18"/>
      <c r="G17" s="18"/>
      <c r="H17" s="18"/>
      <c r="I17" s="19"/>
      <c r="J17" s="18"/>
      <c r="K17" s="18"/>
      <c r="L17" s="19"/>
      <c r="M17" s="50"/>
      <c r="N17" s="49"/>
      <c r="O17" s="19"/>
      <c r="P17" s="50"/>
      <c r="Q17" s="50"/>
      <c r="R17" s="19"/>
      <c r="S17" s="51"/>
      <c r="T17" s="54"/>
      <c r="U17" s="54"/>
    </row>
    <row r="18" spans="2:21" s="9" customFormat="1" ht="14.4" customHeight="1" x14ac:dyDescent="0.3">
      <c r="B18" s="59"/>
      <c r="C18" s="63"/>
      <c r="D18" s="18"/>
      <c r="E18" s="18"/>
      <c r="F18" s="18"/>
      <c r="G18" s="18"/>
      <c r="H18" s="18"/>
      <c r="I18" s="19"/>
      <c r="J18" s="18"/>
      <c r="K18" s="18"/>
      <c r="L18" s="19"/>
      <c r="M18" s="50"/>
      <c r="N18" s="49"/>
      <c r="O18" s="19"/>
      <c r="P18" s="50"/>
      <c r="Q18" s="50"/>
      <c r="R18" s="19"/>
      <c r="S18" s="51"/>
      <c r="T18" s="54"/>
      <c r="U18" s="54"/>
    </row>
  </sheetData>
  <mergeCells count="2">
    <mergeCell ref="D5:H5"/>
    <mergeCell ref="A7:A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4B8C-CB9E-4B70-916A-0FBD131B0B23}">
  <sheetPr>
    <tabColor theme="0"/>
  </sheetPr>
  <dimension ref="B2:T10"/>
  <sheetViews>
    <sheetView zoomScaleNormal="100" workbookViewId="0">
      <selection activeCell="J9" sqref="J9"/>
    </sheetView>
  </sheetViews>
  <sheetFormatPr baseColWidth="10" defaultColWidth="11.44140625" defaultRowHeight="14.4" x14ac:dyDescent="0.3"/>
  <cols>
    <col min="1" max="1" width="2.44140625" style="1" customWidth="1"/>
    <col min="2" max="2" width="15" style="1" customWidth="1"/>
    <col min="3" max="3" width="26.33203125" style="1" customWidth="1"/>
    <col min="4" max="8" width="9" style="1" customWidth="1"/>
    <col min="9" max="9" width="1.88671875" style="1" customWidth="1"/>
    <col min="10" max="10" width="10.21875" style="1" bestFit="1" customWidth="1"/>
    <col min="11" max="11" width="6.33203125" style="1" bestFit="1" customWidth="1"/>
    <col min="12" max="12" width="1.88671875" style="1" customWidth="1"/>
    <col min="13" max="13" width="9.6640625" style="1" bestFit="1" customWidth="1"/>
    <col min="14" max="14" width="11.77734375" style="1" bestFit="1" customWidth="1"/>
    <col min="15" max="15" width="1.88671875" style="1" customWidth="1"/>
    <col min="16" max="17" width="17.33203125" style="1" customWidth="1"/>
    <col min="18" max="18" width="1.88671875" style="1" customWidth="1"/>
    <col min="19" max="19" width="7.88671875" style="1" customWidth="1"/>
    <col min="20" max="20" width="13.44140625" style="1" customWidth="1"/>
    <col min="21" max="16384" width="11.44140625" style="1"/>
  </cols>
  <sheetData>
    <row r="2" spans="2:20" x14ac:dyDescent="0.3">
      <c r="B2" s="1" t="s">
        <v>0</v>
      </c>
    </row>
    <row r="3" spans="2:20" x14ac:dyDescent="0.3">
      <c r="B3" s="1" t="s">
        <v>131</v>
      </c>
    </row>
    <row r="4" spans="2:20" x14ac:dyDescent="0.3">
      <c r="M4" s="1" t="s">
        <v>445</v>
      </c>
      <c r="N4" s="1" t="s">
        <v>517</v>
      </c>
    </row>
    <row r="5" spans="2:20" ht="14.4" customHeight="1" x14ac:dyDescent="0.3">
      <c r="B5" s="728" t="s">
        <v>74</v>
      </c>
      <c r="C5" s="729"/>
      <c r="D5" s="730" t="s">
        <v>54</v>
      </c>
      <c r="E5" s="726"/>
      <c r="F5" s="726"/>
      <c r="G5" s="726"/>
      <c r="H5" s="731"/>
      <c r="I5" s="712"/>
      <c r="J5" s="720" t="s">
        <v>3</v>
      </c>
      <c r="K5" s="720" t="s">
        <v>57</v>
      </c>
      <c r="L5" s="712"/>
      <c r="M5" s="720" t="s">
        <v>1</v>
      </c>
      <c r="N5" s="720" t="s">
        <v>2</v>
      </c>
      <c r="O5" s="712"/>
      <c r="P5" s="710" t="s">
        <v>101</v>
      </c>
      <c r="Q5" s="710" t="s">
        <v>132</v>
      </c>
      <c r="R5" s="712"/>
      <c r="S5" s="714" t="s">
        <v>35</v>
      </c>
      <c r="T5" s="716" t="s">
        <v>62</v>
      </c>
    </row>
    <row r="6" spans="2:20" ht="14.4" customHeight="1" x14ac:dyDescent="0.3">
      <c r="B6" s="57" t="s">
        <v>56</v>
      </c>
      <c r="C6" s="61" t="s">
        <v>55</v>
      </c>
      <c r="D6" s="16">
        <v>2025</v>
      </c>
      <c r="E6" s="16">
        <v>2024</v>
      </c>
      <c r="F6" s="16">
        <v>2023</v>
      </c>
      <c r="G6" s="16">
        <v>2022</v>
      </c>
      <c r="H6" s="16">
        <v>2021</v>
      </c>
      <c r="I6" s="713"/>
      <c r="J6" s="711"/>
      <c r="K6" s="711"/>
      <c r="L6" s="713"/>
      <c r="M6" s="711"/>
      <c r="N6" s="711"/>
      <c r="O6" s="713"/>
      <c r="P6" s="711"/>
      <c r="Q6" s="711"/>
      <c r="R6" s="713"/>
      <c r="S6" s="715"/>
      <c r="T6" s="717"/>
    </row>
    <row r="7" spans="2:20" x14ac:dyDescent="0.3">
      <c r="B7" s="58" t="s">
        <v>516</v>
      </c>
      <c r="C7" s="5" t="s">
        <v>75</v>
      </c>
      <c r="D7" s="6">
        <v>0</v>
      </c>
      <c r="E7" s="6">
        <v>27</v>
      </c>
      <c r="F7" s="6">
        <v>25</v>
      </c>
      <c r="G7" s="6">
        <v>28</v>
      </c>
      <c r="H7" s="6">
        <v>27</v>
      </c>
      <c r="I7" s="7"/>
      <c r="J7" s="6">
        <v>8</v>
      </c>
      <c r="K7" s="6">
        <v>0</v>
      </c>
      <c r="L7" s="7"/>
      <c r="M7" s="8">
        <f>SUM(E7:G7)/3</f>
        <v>26.666666666666668</v>
      </c>
      <c r="N7" s="47">
        <f>(SUM(D7:G7)/37.5)</f>
        <v>2.1333333333333333</v>
      </c>
      <c r="O7" s="7"/>
      <c r="P7" s="8">
        <f>N7*3</f>
        <v>6.4</v>
      </c>
      <c r="Q7" s="8">
        <f>N7*4.5</f>
        <v>9.6</v>
      </c>
      <c r="R7" s="7"/>
      <c r="S7" s="48">
        <f>Q7-(J7+K7)</f>
        <v>1.5999999999999996</v>
      </c>
      <c r="T7" s="53"/>
    </row>
    <row r="8" spans="2:20" x14ac:dyDescent="0.3">
      <c r="B8" s="59"/>
      <c r="C8" s="690"/>
      <c r="D8" s="18"/>
      <c r="E8" s="18"/>
      <c r="F8" s="18"/>
      <c r="G8" s="18"/>
      <c r="H8" s="18"/>
      <c r="I8" s="19"/>
      <c r="J8" s="18"/>
      <c r="K8" s="18"/>
      <c r="L8" s="19"/>
      <c r="M8" s="50"/>
      <c r="N8" s="49"/>
      <c r="O8" s="19"/>
      <c r="P8" s="50"/>
      <c r="Q8" s="50"/>
      <c r="R8" s="19"/>
      <c r="S8" s="51"/>
      <c r="T8" s="54"/>
    </row>
    <row r="9" spans="2:20" x14ac:dyDescent="0.3">
      <c r="B9" s="59" t="s">
        <v>515</v>
      </c>
      <c r="C9" s="10" t="s">
        <v>76</v>
      </c>
      <c r="D9" s="18">
        <f>11</f>
        <v>11</v>
      </c>
      <c r="E9" s="18">
        <v>1</v>
      </c>
      <c r="F9" s="18">
        <v>5</v>
      </c>
      <c r="G9" s="18">
        <v>6</v>
      </c>
      <c r="H9" s="18">
        <v>97</v>
      </c>
      <c r="I9" s="19"/>
      <c r="J9" s="18">
        <v>9</v>
      </c>
      <c r="K9" s="18">
        <v>0</v>
      </c>
      <c r="L9" s="19"/>
      <c r="M9" s="50">
        <f>SUM(E9:G9)/3</f>
        <v>4</v>
      </c>
      <c r="N9" s="49">
        <f>(SUM(D9:G9)/37.5)</f>
        <v>0.61333333333333329</v>
      </c>
      <c r="O9" s="19"/>
      <c r="P9" s="50">
        <f>N9*3</f>
        <v>1.8399999999999999</v>
      </c>
      <c r="Q9" s="50">
        <f>N9*4.5</f>
        <v>2.76</v>
      </c>
      <c r="R9" s="19"/>
      <c r="S9" s="51">
        <f>Q9-(J9+K9)</f>
        <v>-6.24</v>
      </c>
      <c r="T9" s="54"/>
    </row>
    <row r="10" spans="2:20" x14ac:dyDescent="0.3">
      <c r="B10" s="59"/>
      <c r="C10" s="3"/>
      <c r="D10" s="18"/>
      <c r="E10" s="18"/>
      <c r="F10" s="18"/>
      <c r="G10" s="18"/>
      <c r="H10" s="18"/>
      <c r="I10" s="19"/>
      <c r="J10" s="18"/>
      <c r="K10" s="18"/>
      <c r="L10" s="19"/>
      <c r="M10" s="50"/>
      <c r="N10" s="49"/>
      <c r="O10" s="19"/>
      <c r="P10" s="18"/>
      <c r="Q10" s="50"/>
      <c r="R10" s="19"/>
      <c r="S10" s="51"/>
      <c r="T10" s="54"/>
    </row>
  </sheetData>
  <mergeCells count="14">
    <mergeCell ref="T5:T6"/>
    <mergeCell ref="M5:M6"/>
    <mergeCell ref="N5:N6"/>
    <mergeCell ref="O5:O6"/>
    <mergeCell ref="Q5:Q6"/>
    <mergeCell ref="R5:R6"/>
    <mergeCell ref="S5:S6"/>
    <mergeCell ref="P5:P6"/>
    <mergeCell ref="L5:L6"/>
    <mergeCell ref="B5:C5"/>
    <mergeCell ref="I5:I6"/>
    <mergeCell ref="J5:J6"/>
    <mergeCell ref="K5:K6"/>
    <mergeCell ref="D5:H5"/>
  </mergeCells>
  <pageMargins left="0.7" right="0.7" top="0.75" bottom="0.75" header="0.3" footer="0.3"/>
  <pageSetup paperSize="9" scale="9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784C-499E-43D7-AFD1-E3B84E73905D}">
  <sheetPr>
    <tabColor theme="7" tint="0.59999389629810485"/>
  </sheetPr>
  <dimension ref="A2:U169"/>
  <sheetViews>
    <sheetView zoomScale="90" zoomScaleNormal="90" workbookViewId="0">
      <pane ySplit="6" topLeftCell="A89" activePane="bottomLeft" state="frozen"/>
      <selection pane="bottomLeft" activeCell="T107" sqref="T107"/>
    </sheetView>
  </sheetViews>
  <sheetFormatPr baseColWidth="10" defaultColWidth="11.44140625" defaultRowHeight="14.4" x14ac:dyDescent="0.3"/>
  <cols>
    <col min="1" max="1" width="6" style="504" customWidth="1"/>
    <col min="2" max="2" width="25.44140625" style="56" customWidth="1"/>
    <col min="3" max="3" width="24.33203125" style="56" customWidth="1"/>
    <col min="4" max="8" width="7.88671875" style="1" customWidth="1"/>
    <col min="9" max="9" width="1.88671875" style="1" customWidth="1"/>
    <col min="10" max="10" width="10.21875" style="1" bestFit="1" customWidth="1"/>
    <col min="11" max="11" width="10.21875" style="1" customWidth="1"/>
    <col min="12" max="12" width="1.88671875" style="1" customWidth="1"/>
    <col min="13" max="14" width="11.33203125" style="1" customWidth="1"/>
    <col min="15" max="15" width="1.88671875" style="1" customWidth="1"/>
    <col min="16" max="16" width="14.109375" style="191" bestFit="1" customWidth="1"/>
    <col min="17" max="17" width="16.44140625" style="191" customWidth="1"/>
    <col min="18" max="18" width="1.88671875" style="1" customWidth="1"/>
    <col min="19" max="19" width="12.33203125" style="1" bestFit="1" customWidth="1"/>
    <col min="20" max="20" width="16.88671875" style="1" bestFit="1" customWidth="1"/>
    <col min="21" max="21" width="96.109375" style="1" bestFit="1" customWidth="1"/>
    <col min="22" max="16384" width="11.44140625" style="1"/>
  </cols>
  <sheetData>
    <row r="2" spans="1:21" x14ac:dyDescent="0.3">
      <c r="B2" s="56" t="s">
        <v>51</v>
      </c>
    </row>
    <row r="3" spans="1:21" x14ac:dyDescent="0.3">
      <c r="B3" s="56" t="s">
        <v>63</v>
      </c>
    </row>
    <row r="5" spans="1:21" ht="14.4" customHeight="1" x14ac:dyDescent="0.3">
      <c r="B5" s="718" t="s">
        <v>52</v>
      </c>
      <c r="C5" s="719"/>
      <c r="D5" s="721" t="s">
        <v>54</v>
      </c>
      <c r="E5" s="722"/>
      <c r="F5" s="722"/>
      <c r="G5" s="722"/>
      <c r="H5" s="723"/>
      <c r="I5" s="712"/>
      <c r="J5" s="720" t="s">
        <v>3</v>
      </c>
      <c r="K5" s="720" t="s">
        <v>57</v>
      </c>
      <c r="L5" s="712"/>
      <c r="M5" s="710" t="s">
        <v>446</v>
      </c>
      <c r="N5" s="710" t="s">
        <v>452</v>
      </c>
      <c r="O5" s="712"/>
      <c r="P5" s="732" t="s">
        <v>527</v>
      </c>
      <c r="Q5" s="732" t="s">
        <v>102</v>
      </c>
      <c r="R5" s="712"/>
      <c r="S5" s="714" t="s">
        <v>35</v>
      </c>
      <c r="T5" s="716" t="s">
        <v>62</v>
      </c>
      <c r="U5" s="716" t="s">
        <v>162</v>
      </c>
    </row>
    <row r="6" spans="1:21" x14ac:dyDescent="0.3">
      <c r="B6" s="66" t="s">
        <v>56</v>
      </c>
      <c r="C6" s="67" t="s">
        <v>55</v>
      </c>
      <c r="D6" s="68">
        <v>2025</v>
      </c>
      <c r="E6" s="68">
        <v>2024</v>
      </c>
      <c r="F6" s="68">
        <v>2023</v>
      </c>
      <c r="G6" s="68">
        <v>2022</v>
      </c>
      <c r="H6" s="68">
        <v>2021</v>
      </c>
      <c r="I6" s="713"/>
      <c r="J6" s="711"/>
      <c r="K6" s="711"/>
      <c r="L6" s="713"/>
      <c r="M6" s="711"/>
      <c r="N6" s="711"/>
      <c r="O6" s="713"/>
      <c r="P6" s="733"/>
      <c r="Q6" s="733"/>
      <c r="R6" s="713"/>
      <c r="S6" s="715"/>
      <c r="T6" s="717"/>
      <c r="U6" s="717"/>
    </row>
    <row r="7" spans="1:21" s="9" customFormat="1" ht="14.4" customHeight="1" x14ac:dyDescent="0.3">
      <c r="A7" s="504"/>
      <c r="B7" s="52" t="s">
        <v>61</v>
      </c>
      <c r="C7" s="203" t="s">
        <v>60</v>
      </c>
      <c r="D7" s="18"/>
      <c r="E7" s="18">
        <v>2</v>
      </c>
      <c r="F7" s="18">
        <v>0</v>
      </c>
      <c r="G7" s="18">
        <v>0</v>
      </c>
      <c r="H7" s="18">
        <v>20</v>
      </c>
      <c r="I7" s="19"/>
      <c r="J7" s="18">
        <v>8</v>
      </c>
      <c r="K7" s="18">
        <v>0</v>
      </c>
      <c r="L7" s="19"/>
      <c r="M7" s="50">
        <f>SUM(F7:H7)/3</f>
        <v>6.666666666666667</v>
      </c>
      <c r="N7" s="49">
        <f t="shared" ref="N7" si="0">(SUM(E7:H7)/38)</f>
        <v>0.57894736842105265</v>
      </c>
      <c r="O7" s="19"/>
      <c r="P7" s="195"/>
      <c r="Q7" s="195">
        <f t="shared" ref="Q7" si="1">N7*5</f>
        <v>2.8947368421052633</v>
      </c>
      <c r="R7" s="19"/>
      <c r="S7" s="51">
        <f t="shared" ref="S7:S8" si="2">Q7-(J7+K7)</f>
        <v>-5.1052631578947363</v>
      </c>
      <c r="T7" s="54">
        <v>0</v>
      </c>
      <c r="U7" s="54" t="s">
        <v>83</v>
      </c>
    </row>
    <row r="8" spans="1:21" s="9" customFormat="1" ht="14.4" customHeight="1" x14ac:dyDescent="0.3">
      <c r="A8" s="504"/>
      <c r="B8" s="59" t="s">
        <v>64</v>
      </c>
      <c r="C8" s="203" t="s">
        <v>64</v>
      </c>
      <c r="D8" s="18"/>
      <c r="E8" s="18">
        <v>0</v>
      </c>
      <c r="F8" s="18">
        <v>0</v>
      </c>
      <c r="G8" s="18">
        <v>11</v>
      </c>
      <c r="H8" s="18">
        <v>6</v>
      </c>
      <c r="I8" s="19"/>
      <c r="J8" s="18">
        <v>9</v>
      </c>
      <c r="K8" s="18">
        <v>0</v>
      </c>
      <c r="L8" s="19"/>
      <c r="M8" s="50">
        <f t="shared" ref="M8" si="3">(SUM(F8:H8)/3)</f>
        <v>5.666666666666667</v>
      </c>
      <c r="N8" s="49">
        <f t="shared" ref="N8" si="4">((SUM(E8:H8))/38)</f>
        <v>0.44736842105263158</v>
      </c>
      <c r="O8" s="19"/>
      <c r="P8" s="195"/>
      <c r="Q8" s="195">
        <f t="shared" ref="Q8" si="5">N8*5</f>
        <v>2.236842105263158</v>
      </c>
      <c r="R8" s="19"/>
      <c r="S8" s="51">
        <f t="shared" si="2"/>
        <v>-6.7631578947368425</v>
      </c>
      <c r="T8" s="54">
        <v>0</v>
      </c>
      <c r="U8" s="54"/>
    </row>
    <row r="9" spans="1:21" s="9" customFormat="1" ht="14.4" customHeight="1" x14ac:dyDescent="0.3">
      <c r="A9" s="504"/>
      <c r="B9" s="59" t="s">
        <v>134</v>
      </c>
      <c r="C9" s="203">
        <v>6110138</v>
      </c>
      <c r="D9" s="18"/>
      <c r="E9" s="18">
        <f>6+4</f>
        <v>10</v>
      </c>
      <c r="F9" s="18">
        <v>17</v>
      </c>
      <c r="G9" s="18">
        <v>5</v>
      </c>
      <c r="H9" s="18">
        <v>10</v>
      </c>
      <c r="I9" s="19"/>
      <c r="J9" s="18">
        <v>1</v>
      </c>
      <c r="K9" s="18">
        <v>0</v>
      </c>
      <c r="L9" s="19"/>
      <c r="M9" s="50">
        <f t="shared" ref="M9" si="6">(SUM(F9:H9)/3)</f>
        <v>10.666666666666666</v>
      </c>
      <c r="N9" s="49">
        <f>((SUM(E9:H9))/38)</f>
        <v>1.1052631578947369</v>
      </c>
      <c r="O9" s="19"/>
      <c r="P9" s="195">
        <f t="shared" ref="P9" si="7">N9*3</f>
        <v>3.3157894736842106</v>
      </c>
      <c r="Q9" s="195">
        <f t="shared" ref="Q9" si="8">N9*5</f>
        <v>5.526315789473685</v>
      </c>
      <c r="R9" s="19"/>
      <c r="S9" s="51">
        <f t="shared" ref="S9" si="9">Q9-(J9+K9)</f>
        <v>4.526315789473685</v>
      </c>
      <c r="T9" s="54">
        <v>5</v>
      </c>
      <c r="U9" s="54"/>
    </row>
    <row r="10" spans="1:21" s="9" customFormat="1" x14ac:dyDescent="0.3">
      <c r="A10" s="504"/>
      <c r="B10" s="59">
        <v>6110150</v>
      </c>
      <c r="C10" s="203">
        <v>6110150</v>
      </c>
      <c r="D10" s="18"/>
      <c r="E10" s="18">
        <v>2</v>
      </c>
      <c r="F10" s="18">
        <v>3</v>
      </c>
      <c r="G10" s="18">
        <v>5</v>
      </c>
      <c r="H10" s="18">
        <v>3</v>
      </c>
      <c r="I10" s="19"/>
      <c r="J10" s="18">
        <v>10</v>
      </c>
      <c r="K10" s="18">
        <v>0</v>
      </c>
      <c r="L10" s="19"/>
      <c r="M10" s="50">
        <f t="shared" ref="M10" si="10">(SUM(F10:H10)/3)</f>
        <v>3.6666666666666665</v>
      </c>
      <c r="N10" s="49">
        <f t="shared" ref="N10" si="11">(SUM(E10:H10)/39.5)</f>
        <v>0.32911392405063289</v>
      </c>
      <c r="O10" s="19"/>
      <c r="P10" s="195">
        <f t="shared" ref="P10" si="12">N10*3</f>
        <v>0.98734177215189867</v>
      </c>
      <c r="Q10" s="195">
        <f t="shared" ref="Q10" si="13">N10*5</f>
        <v>1.6455696202531644</v>
      </c>
      <c r="R10" s="19"/>
      <c r="S10" s="51">
        <f t="shared" ref="S10" si="14">Q10-(J10+K10)</f>
        <v>-8.3544303797468356</v>
      </c>
      <c r="T10" s="54">
        <v>0</v>
      </c>
      <c r="U10" s="54" t="s">
        <v>198</v>
      </c>
    </row>
    <row r="11" spans="1:21" s="9" customFormat="1" x14ac:dyDescent="0.3">
      <c r="A11" s="504"/>
      <c r="B11" s="59" t="s">
        <v>197</v>
      </c>
      <c r="C11" s="203" t="s">
        <v>197</v>
      </c>
      <c r="D11" s="18"/>
      <c r="E11" s="18">
        <f>7+14</f>
        <v>21</v>
      </c>
      <c r="F11" s="18">
        <v>49</v>
      </c>
      <c r="G11" s="18">
        <v>14</v>
      </c>
      <c r="H11" s="18">
        <v>70</v>
      </c>
      <c r="I11" s="19"/>
      <c r="J11" s="18">
        <v>-10</v>
      </c>
      <c r="K11" s="18">
        <v>16</v>
      </c>
      <c r="L11" s="19"/>
      <c r="M11" s="50">
        <f>SUM(F11:H11)/3</f>
        <v>44.333333333333336</v>
      </c>
      <c r="N11" s="49">
        <f>(SUM(E11:H11)/40)</f>
        <v>3.85</v>
      </c>
      <c r="O11" s="19"/>
      <c r="P11" s="195">
        <f t="shared" ref="P11" si="15">N11*3</f>
        <v>11.55</v>
      </c>
      <c r="Q11" s="195">
        <f t="shared" ref="Q11" si="16">N11*5</f>
        <v>19.25</v>
      </c>
      <c r="R11" s="19"/>
      <c r="S11" s="51">
        <f t="shared" ref="S11" si="17">Q11-(J11+K11)</f>
        <v>13.25</v>
      </c>
      <c r="T11" s="54">
        <v>10</v>
      </c>
      <c r="U11" s="54"/>
    </row>
    <row r="12" spans="1:21" s="9" customFormat="1" ht="28.8" x14ac:dyDescent="0.3">
      <c r="A12" s="504"/>
      <c r="B12" s="59" t="s">
        <v>233</v>
      </c>
      <c r="C12" s="203" t="s">
        <v>197</v>
      </c>
      <c r="D12" s="18"/>
      <c r="E12" s="18">
        <f>6+25</f>
        <v>31</v>
      </c>
      <c r="F12" s="18">
        <v>49</v>
      </c>
      <c r="G12" s="18">
        <v>14</v>
      </c>
      <c r="H12" s="18">
        <v>70</v>
      </c>
      <c r="I12" s="19"/>
      <c r="J12" s="18">
        <v>-11</v>
      </c>
      <c r="K12" s="18">
        <v>0</v>
      </c>
      <c r="L12" s="19"/>
      <c r="M12" s="50">
        <f>SUM(F12:H12)/3</f>
        <v>44.333333333333336</v>
      </c>
      <c r="N12" s="49">
        <f t="shared" ref="N12:N13" si="18">(SUM(E12:H12)/41)</f>
        <v>4</v>
      </c>
      <c r="O12" s="19"/>
      <c r="P12" s="195">
        <f t="shared" ref="P12:P13" si="19">N12*3</f>
        <v>12</v>
      </c>
      <c r="Q12" s="195">
        <f t="shared" ref="Q12:Q13" si="20">N12*5</f>
        <v>20</v>
      </c>
      <c r="R12" s="19"/>
      <c r="S12" s="51">
        <f t="shared" ref="S12:S13" si="21">Q12-(J12+K12)</f>
        <v>31</v>
      </c>
      <c r="T12" s="54">
        <v>30</v>
      </c>
      <c r="U12" s="54" t="s">
        <v>232</v>
      </c>
    </row>
    <row r="13" spans="1:21" s="191" customFormat="1" x14ac:dyDescent="0.3">
      <c r="A13" s="504"/>
      <c r="B13" s="213" t="s">
        <v>235</v>
      </c>
      <c r="C13" s="203" t="s">
        <v>234</v>
      </c>
      <c r="D13" s="194"/>
      <c r="E13" s="194">
        <f>270</f>
        <v>270</v>
      </c>
      <c r="F13" s="194">
        <v>625</v>
      </c>
      <c r="G13" s="194">
        <v>1</v>
      </c>
      <c r="H13" s="194">
        <v>0</v>
      </c>
      <c r="I13" s="193"/>
      <c r="J13" s="194">
        <v>-267.75</v>
      </c>
      <c r="K13" s="194">
        <v>270</v>
      </c>
      <c r="L13" s="193"/>
      <c r="M13" s="50">
        <f>SUM(F13:H13)/3</f>
        <v>208.66666666666666</v>
      </c>
      <c r="N13" s="49">
        <f t="shared" si="18"/>
        <v>21.853658536585368</v>
      </c>
      <c r="O13" s="19"/>
      <c r="P13" s="195">
        <f t="shared" si="19"/>
        <v>65.560975609756099</v>
      </c>
      <c r="Q13" s="195">
        <f t="shared" si="20"/>
        <v>109.26829268292684</v>
      </c>
      <c r="R13" s="19"/>
      <c r="S13" s="51">
        <f t="shared" si="21"/>
        <v>107.01829268292684</v>
      </c>
      <c r="T13" s="198">
        <v>5</v>
      </c>
      <c r="U13" s="198" t="s">
        <v>236</v>
      </c>
    </row>
    <row r="14" spans="1:21" s="9" customFormat="1" ht="14.4" customHeight="1" x14ac:dyDescent="0.3">
      <c r="A14" s="504"/>
      <c r="B14" s="59" t="s">
        <v>226</v>
      </c>
      <c r="C14" s="203">
        <v>5118080</v>
      </c>
      <c r="D14" s="18"/>
      <c r="E14" s="18"/>
      <c r="F14" s="18"/>
      <c r="G14" s="18"/>
      <c r="H14" s="18"/>
      <c r="I14" s="19"/>
      <c r="J14" s="18"/>
      <c r="K14" s="18"/>
      <c r="L14" s="19"/>
      <c r="M14" s="50">
        <f t="shared" ref="M14:M16" si="22">(SUM(F14:H14)/3)</f>
        <v>0</v>
      </c>
      <c r="N14" s="49">
        <f>((SUM(E14:H14))/43.5)</f>
        <v>0</v>
      </c>
      <c r="O14" s="19"/>
      <c r="P14" s="195">
        <f>N14*3</f>
        <v>0</v>
      </c>
      <c r="Q14" s="195">
        <f>N14*5</f>
        <v>0</v>
      </c>
      <c r="R14" s="19"/>
      <c r="S14" s="51">
        <f>Q14-(J14+K14)</f>
        <v>0</v>
      </c>
      <c r="T14" s="54">
        <v>24</v>
      </c>
      <c r="U14" s="54" t="s">
        <v>84</v>
      </c>
    </row>
    <row r="15" spans="1:21" s="9" customFormat="1" x14ac:dyDescent="0.3">
      <c r="A15" s="504"/>
      <c r="B15" s="59" t="s">
        <v>305</v>
      </c>
      <c r="C15" s="203">
        <v>6110160</v>
      </c>
      <c r="D15" s="18"/>
      <c r="E15" s="18">
        <v>6</v>
      </c>
      <c r="F15" s="18">
        <v>8</v>
      </c>
      <c r="G15" s="18">
        <v>14</v>
      </c>
      <c r="H15" s="18">
        <v>17</v>
      </c>
      <c r="I15" s="19"/>
      <c r="J15" s="18">
        <v>10</v>
      </c>
      <c r="K15" s="18">
        <v>0</v>
      </c>
      <c r="L15" s="19"/>
      <c r="M15" s="50">
        <f t="shared" si="22"/>
        <v>13</v>
      </c>
      <c r="N15" s="49">
        <f>(SUM(E15:H15)/43.5)</f>
        <v>1.0344827586206897</v>
      </c>
      <c r="O15" s="19"/>
      <c r="P15" s="195">
        <f>N15*3</f>
        <v>3.1034482758620694</v>
      </c>
      <c r="Q15" s="195">
        <f>N15*5</f>
        <v>5.1724137931034484</v>
      </c>
      <c r="R15" s="19"/>
      <c r="S15" s="51">
        <f>Q15-(J15+K15)</f>
        <v>-4.8275862068965516</v>
      </c>
      <c r="T15" s="54">
        <v>0</v>
      </c>
      <c r="U15" s="54"/>
    </row>
    <row r="16" spans="1:21" s="100" customFormat="1" ht="14.4" customHeight="1" x14ac:dyDescent="0.3">
      <c r="A16" s="679"/>
      <c r="B16" s="92" t="s">
        <v>306</v>
      </c>
      <c r="C16" s="396" t="s">
        <v>65</v>
      </c>
      <c r="D16" s="94"/>
      <c r="E16" s="94">
        <f>82+14</f>
        <v>96</v>
      </c>
      <c r="F16" s="94">
        <v>54</v>
      </c>
      <c r="G16" s="94">
        <v>182</v>
      </c>
      <c r="H16" s="94">
        <v>209</v>
      </c>
      <c r="I16" s="95"/>
      <c r="J16" s="94">
        <v>-4</v>
      </c>
      <c r="K16" s="94">
        <v>0</v>
      </c>
      <c r="L16" s="95"/>
      <c r="M16" s="96">
        <f t="shared" si="22"/>
        <v>148.33333333333334</v>
      </c>
      <c r="N16" s="97">
        <f>((SUM(E16:H16))/43.5)</f>
        <v>12.436781609195402</v>
      </c>
      <c r="O16" s="95"/>
      <c r="P16" s="397">
        <f>N16*3</f>
        <v>37.310344827586206</v>
      </c>
      <c r="Q16" s="397">
        <f>N16*5</f>
        <v>62.183908045977006</v>
      </c>
      <c r="R16" s="95"/>
      <c r="S16" s="98">
        <f>Q16-(J16+K16)</f>
        <v>66.183908045977006</v>
      </c>
      <c r="T16" s="99">
        <v>55</v>
      </c>
      <c r="U16" s="99"/>
    </row>
    <row r="17" spans="1:21" s="9" customFormat="1" x14ac:dyDescent="0.3">
      <c r="A17" s="504"/>
      <c r="B17" s="59"/>
      <c r="C17" s="203"/>
      <c r="D17" s="18"/>
      <c r="E17" s="18"/>
      <c r="F17" s="18"/>
      <c r="G17" s="18"/>
      <c r="H17" s="18"/>
      <c r="I17" s="19"/>
      <c r="J17" s="18"/>
      <c r="K17" s="18"/>
      <c r="L17" s="19"/>
      <c r="M17" s="50"/>
      <c r="N17" s="49"/>
      <c r="O17" s="19"/>
      <c r="P17" s="195"/>
      <c r="Q17" s="195"/>
      <c r="R17" s="19"/>
      <c r="S17" s="51"/>
      <c r="T17" s="54"/>
      <c r="U17" s="54"/>
    </row>
    <row r="18" spans="1:21" s="9" customFormat="1" x14ac:dyDescent="0.3">
      <c r="A18" s="504"/>
      <c r="B18" s="59"/>
      <c r="C18" s="203"/>
      <c r="D18" s="18"/>
      <c r="E18" s="18"/>
      <c r="F18" s="18"/>
      <c r="G18" s="18"/>
      <c r="H18" s="18"/>
      <c r="I18" s="19"/>
      <c r="J18" s="18"/>
      <c r="K18" s="18"/>
      <c r="L18" s="19"/>
      <c r="M18" s="50"/>
      <c r="N18" s="49"/>
      <c r="O18" s="19"/>
      <c r="P18" s="195"/>
      <c r="Q18" s="195"/>
      <c r="R18" s="19"/>
      <c r="S18" s="51"/>
      <c r="T18" s="54"/>
      <c r="U18" s="54"/>
    </row>
    <row r="19" spans="1:21" s="9" customFormat="1" x14ac:dyDescent="0.3">
      <c r="A19" s="504"/>
      <c r="B19" s="59"/>
      <c r="C19" s="365"/>
      <c r="D19" s="18"/>
      <c r="E19" s="18"/>
      <c r="F19" s="18"/>
      <c r="G19" s="18"/>
      <c r="H19" s="18"/>
      <c r="I19" s="19"/>
      <c r="J19" s="18"/>
      <c r="K19" s="18"/>
      <c r="L19" s="19"/>
      <c r="M19" s="50"/>
      <c r="N19" s="49"/>
      <c r="O19" s="19"/>
      <c r="P19" s="195"/>
      <c r="Q19" s="195"/>
      <c r="R19" s="19"/>
      <c r="S19" s="51"/>
      <c r="T19" s="54"/>
      <c r="U19" s="54"/>
    </row>
    <row r="20" spans="1:21" s="191" customFormat="1" ht="28.8" x14ac:dyDescent="0.3">
      <c r="A20" s="504"/>
      <c r="B20" s="202" t="s">
        <v>308</v>
      </c>
      <c r="C20" s="203">
        <v>6017221</v>
      </c>
      <c r="D20" s="194"/>
      <c r="E20" s="194">
        <v>24</v>
      </c>
      <c r="F20" s="194">
        <v>47</v>
      </c>
      <c r="G20" s="194">
        <v>36</v>
      </c>
      <c r="H20" s="194">
        <v>91</v>
      </c>
      <c r="I20" s="193"/>
      <c r="J20" s="194">
        <v>39</v>
      </c>
      <c r="K20" s="194">
        <v>0</v>
      </c>
      <c r="L20" s="193"/>
      <c r="M20" s="196">
        <f>(SUM(F20:H20)/3)</f>
        <v>58</v>
      </c>
      <c r="N20" s="196">
        <f>(SUM(E20:H20)/43.5)</f>
        <v>4.5517241379310347</v>
      </c>
      <c r="O20" s="193"/>
      <c r="P20" s="195">
        <f>N20*3</f>
        <v>13.655172413793103</v>
      </c>
      <c r="Q20" s="195">
        <f>N20*5</f>
        <v>22.758620689655174</v>
      </c>
      <c r="R20" s="193"/>
      <c r="S20" s="197">
        <f>Q20-(J20+K20)</f>
        <v>-16.241379310344826</v>
      </c>
      <c r="T20" s="198"/>
      <c r="U20" s="198"/>
    </row>
    <row r="21" spans="1:21" s="191" customFormat="1" ht="7.2" customHeight="1" x14ac:dyDescent="0.3">
      <c r="A21" s="504"/>
      <c r="B21" s="202"/>
      <c r="C21" s="203"/>
      <c r="D21" s="194"/>
      <c r="E21" s="194"/>
      <c r="F21" s="194"/>
      <c r="G21" s="194"/>
      <c r="H21" s="194"/>
      <c r="I21" s="193"/>
      <c r="J21" s="194"/>
      <c r="K21" s="194"/>
      <c r="L21" s="193"/>
      <c r="M21" s="196"/>
      <c r="N21" s="196"/>
      <c r="O21" s="193"/>
      <c r="P21" s="195"/>
      <c r="Q21" s="195"/>
      <c r="R21" s="193"/>
      <c r="S21" s="197"/>
      <c r="T21" s="198"/>
      <c r="U21" s="198"/>
    </row>
    <row r="22" spans="1:21" s="191" customFormat="1" ht="28.8" x14ac:dyDescent="0.3">
      <c r="A22" s="504"/>
      <c r="B22" s="202" t="s">
        <v>311</v>
      </c>
      <c r="C22" s="203" t="s">
        <v>197</v>
      </c>
      <c r="D22" s="194"/>
      <c r="E22" s="194">
        <v>37</v>
      </c>
      <c r="F22" s="194">
        <v>49</v>
      </c>
      <c r="G22" s="194">
        <v>14</v>
      </c>
      <c r="H22" s="194">
        <v>70</v>
      </c>
      <c r="I22" s="193"/>
      <c r="J22" s="194">
        <v>29</v>
      </c>
      <c r="K22" s="194">
        <v>0</v>
      </c>
      <c r="L22" s="193"/>
      <c r="M22" s="196">
        <f>(SUM(F22:H22)/3)</f>
        <v>44.333333333333336</v>
      </c>
      <c r="N22" s="196">
        <f>(SUM(E22:H22)/43.5)</f>
        <v>3.9080459770114944</v>
      </c>
      <c r="O22" s="193"/>
      <c r="P22" s="195">
        <f>N22*3</f>
        <v>11.724137931034484</v>
      </c>
      <c r="Q22" s="195">
        <f>N22*5</f>
        <v>19.540229885057471</v>
      </c>
      <c r="R22" s="193"/>
      <c r="S22" s="197">
        <f>Q22-(J22+K22)</f>
        <v>-9.4597701149425291</v>
      </c>
      <c r="T22" s="198"/>
      <c r="U22" s="198"/>
    </row>
    <row r="23" spans="1:21" s="191" customFormat="1" ht="7.2" customHeight="1" x14ac:dyDescent="0.3">
      <c r="A23" s="504"/>
      <c r="B23" s="202"/>
      <c r="C23" s="203"/>
      <c r="D23" s="194"/>
      <c r="E23" s="194"/>
      <c r="F23" s="194"/>
      <c r="G23" s="194"/>
      <c r="H23" s="194"/>
      <c r="I23" s="193"/>
      <c r="J23" s="194"/>
      <c r="K23" s="194"/>
      <c r="L23" s="193"/>
      <c r="M23" s="196"/>
      <c r="N23" s="196"/>
      <c r="O23" s="193"/>
      <c r="P23" s="195"/>
      <c r="Q23" s="195"/>
      <c r="R23" s="193"/>
      <c r="S23" s="197"/>
      <c r="T23" s="198"/>
      <c r="U23" s="198"/>
    </row>
    <row r="24" spans="1:21" s="191" customFormat="1" x14ac:dyDescent="0.3">
      <c r="A24" s="504"/>
      <c r="B24" s="202"/>
      <c r="C24" s="203"/>
      <c r="D24" s="194"/>
      <c r="E24" s="194"/>
      <c r="F24" s="194"/>
      <c r="G24" s="194"/>
      <c r="H24" s="194"/>
      <c r="I24" s="193"/>
      <c r="J24" s="194"/>
      <c r="K24" s="194"/>
      <c r="L24" s="193"/>
      <c r="M24" s="196"/>
      <c r="N24" s="196"/>
      <c r="O24" s="193"/>
      <c r="P24" s="195"/>
      <c r="Q24" s="195"/>
      <c r="R24" s="193"/>
      <c r="S24" s="197"/>
      <c r="T24" s="198"/>
      <c r="U24" s="198"/>
    </row>
    <row r="25" spans="1:21" s="9" customFormat="1" ht="14.4" customHeight="1" x14ac:dyDescent="0.3">
      <c r="A25" s="504"/>
      <c r="B25" s="59"/>
      <c r="C25" s="203"/>
      <c r="D25" s="18"/>
      <c r="E25" s="18"/>
      <c r="F25" s="18"/>
      <c r="G25" s="18"/>
      <c r="H25" s="18"/>
      <c r="I25" s="19"/>
      <c r="J25" s="18"/>
      <c r="K25" s="18"/>
      <c r="L25" s="19"/>
      <c r="M25" s="50"/>
      <c r="N25" s="49"/>
      <c r="O25" s="19"/>
      <c r="P25" s="195"/>
      <c r="Q25" s="195"/>
      <c r="R25" s="19"/>
      <c r="S25" s="51"/>
      <c r="T25" s="54"/>
      <c r="U25" s="54"/>
    </row>
    <row r="26" spans="1:21" s="191" customFormat="1" ht="15" customHeight="1" x14ac:dyDescent="0.3">
      <c r="A26" s="504"/>
      <c r="B26" s="202" t="s">
        <v>274</v>
      </c>
      <c r="C26" s="203">
        <v>6017104</v>
      </c>
      <c r="D26" s="194"/>
      <c r="E26" s="194">
        <v>23</v>
      </c>
      <c r="F26" s="194">
        <v>0</v>
      </c>
      <c r="G26" s="194">
        <v>0</v>
      </c>
      <c r="H26" s="194">
        <v>2</v>
      </c>
      <c r="I26" s="193"/>
      <c r="J26" s="194">
        <v>0</v>
      </c>
      <c r="K26" s="194">
        <v>0</v>
      </c>
      <c r="L26" s="193"/>
      <c r="M26" s="195">
        <f>(SUM(F26:H26)/3)</f>
        <v>0.66666666666666663</v>
      </c>
      <c r="N26" s="196">
        <f>(SUM(E26:H26)/44)</f>
        <v>0.56818181818181823</v>
      </c>
      <c r="O26" s="193"/>
      <c r="P26" s="195">
        <f t="shared" ref="P26" si="23">N26*3</f>
        <v>1.7045454545454546</v>
      </c>
      <c r="Q26" s="195">
        <f t="shared" ref="Q26" si="24">N26*5</f>
        <v>2.8409090909090913</v>
      </c>
      <c r="R26" s="193"/>
      <c r="S26" s="197">
        <f t="shared" ref="S26" si="25">Q26-(J26+K26)</f>
        <v>2.8409090909090913</v>
      </c>
      <c r="T26" s="198">
        <v>0</v>
      </c>
      <c r="U26" s="198"/>
    </row>
    <row r="27" spans="1:21" s="191" customFormat="1" ht="28.8" x14ac:dyDescent="0.3">
      <c r="A27" s="504"/>
      <c r="B27" s="202" t="s">
        <v>310</v>
      </c>
      <c r="C27" s="203">
        <v>6017251</v>
      </c>
      <c r="D27" s="194"/>
      <c r="E27" s="194">
        <f>14+14</f>
        <v>28</v>
      </c>
      <c r="F27" s="194">
        <v>18</v>
      </c>
      <c r="G27" s="194">
        <v>29</v>
      </c>
      <c r="H27" s="194">
        <v>33</v>
      </c>
      <c r="I27" s="193"/>
      <c r="J27" s="194">
        <v>-4</v>
      </c>
      <c r="K27" s="194">
        <v>0</v>
      </c>
      <c r="L27" s="193"/>
      <c r="M27" s="196">
        <f>SUM(F27:H27)/3</f>
        <v>26.666666666666668</v>
      </c>
      <c r="N27" s="196">
        <f>(SUM(E27:H27)/45)</f>
        <v>2.4</v>
      </c>
      <c r="O27" s="363"/>
      <c r="P27" s="196">
        <f>N27*3</f>
        <v>7.1999999999999993</v>
      </c>
      <c r="Q27" s="196">
        <f t="shared" ref="Q27" si="26">N27*5</f>
        <v>12</v>
      </c>
      <c r="R27" s="363"/>
      <c r="S27" s="364">
        <f t="shared" ref="S27" si="27">Q27-(J27+K27)</f>
        <v>16</v>
      </c>
      <c r="T27" s="247">
        <v>20</v>
      </c>
      <c r="U27" s="198"/>
    </row>
    <row r="28" spans="1:21" s="9" customFormat="1" ht="14.4" customHeight="1" x14ac:dyDescent="0.3">
      <c r="A28" s="504"/>
      <c r="B28" s="59" t="s">
        <v>95</v>
      </c>
      <c r="C28" s="203">
        <v>100013</v>
      </c>
      <c r="D28" s="194"/>
      <c r="E28" s="194">
        <v>39</v>
      </c>
      <c r="F28" s="194">
        <v>26</v>
      </c>
      <c r="G28" s="194">
        <v>63</v>
      </c>
      <c r="H28" s="194">
        <v>26</v>
      </c>
      <c r="I28" s="19"/>
      <c r="J28" s="18">
        <v>9</v>
      </c>
      <c r="K28" s="18">
        <v>0</v>
      </c>
      <c r="L28" s="19"/>
      <c r="M28" s="50">
        <f>(SUM(F28:H28)/3)</f>
        <v>38.333333333333336</v>
      </c>
      <c r="N28" s="49">
        <f>((SUM(E28:H28))/45)</f>
        <v>3.4222222222222221</v>
      </c>
      <c r="O28" s="19"/>
      <c r="P28" s="195">
        <f>((M28/12)*3)</f>
        <v>9.5833333333333339</v>
      </c>
      <c r="Q28" s="195">
        <f t="shared" ref="Q28:Q32" si="28">N28*5</f>
        <v>17.111111111111111</v>
      </c>
      <c r="R28" s="19"/>
      <c r="S28" s="51">
        <f t="shared" ref="S28:S32" si="29">Q28-(J28+K28)</f>
        <v>8.1111111111111107</v>
      </c>
      <c r="T28" s="54">
        <v>8</v>
      </c>
      <c r="U28" s="54" t="s">
        <v>363</v>
      </c>
    </row>
    <row r="29" spans="1:21" s="9" customFormat="1" x14ac:dyDescent="0.3">
      <c r="A29" s="504"/>
      <c r="B29" s="59" t="s">
        <v>53</v>
      </c>
      <c r="C29" s="203">
        <v>6111150</v>
      </c>
      <c r="D29" s="18"/>
      <c r="E29" s="18">
        <f>2+17</f>
        <v>19</v>
      </c>
      <c r="F29" s="18">
        <v>5</v>
      </c>
      <c r="G29" s="18">
        <v>21</v>
      </c>
      <c r="H29" s="18">
        <v>19</v>
      </c>
      <c r="I29" s="19"/>
      <c r="J29" s="18">
        <v>5</v>
      </c>
      <c r="K29" s="18">
        <v>0</v>
      </c>
      <c r="L29" s="19"/>
      <c r="M29" s="50">
        <f>SUM(F29:H29)/3</f>
        <v>15</v>
      </c>
      <c r="N29" s="49">
        <f>(SUM(E29:H29)/45)</f>
        <v>1.4222222222222223</v>
      </c>
      <c r="O29" s="19"/>
      <c r="P29" s="195">
        <f t="shared" ref="P29:P32" si="30">N29*3</f>
        <v>4.2666666666666666</v>
      </c>
      <c r="Q29" s="195">
        <f t="shared" si="28"/>
        <v>7.1111111111111116</v>
      </c>
      <c r="R29" s="19"/>
      <c r="S29" s="51">
        <f t="shared" si="29"/>
        <v>2.1111111111111116</v>
      </c>
      <c r="T29" s="54">
        <v>3</v>
      </c>
      <c r="U29" s="54"/>
    </row>
    <row r="30" spans="1:21" s="191" customFormat="1" ht="28.8" x14ac:dyDescent="0.3">
      <c r="A30" s="504"/>
      <c r="B30" s="202" t="s">
        <v>302</v>
      </c>
      <c r="C30" s="203" t="s">
        <v>89</v>
      </c>
      <c r="D30" s="194"/>
      <c r="E30" s="194">
        <f>26+180</f>
        <v>206</v>
      </c>
      <c r="F30" s="194">
        <v>60</v>
      </c>
      <c r="G30" s="194">
        <v>161</v>
      </c>
      <c r="H30" s="194">
        <v>442</v>
      </c>
      <c r="I30" s="193"/>
      <c r="J30" s="194">
        <v>6</v>
      </c>
      <c r="K30" s="194">
        <v>17</v>
      </c>
      <c r="L30" s="193"/>
      <c r="M30" s="195">
        <f>(SUM(F30:H30)/3)</f>
        <v>221</v>
      </c>
      <c r="N30" s="196">
        <f>((SUM(E30:G30))/31.5)</f>
        <v>13.555555555555555</v>
      </c>
      <c r="O30" s="193"/>
      <c r="P30" s="195">
        <f t="shared" si="30"/>
        <v>40.666666666666664</v>
      </c>
      <c r="Q30" s="195">
        <f t="shared" si="28"/>
        <v>67.777777777777771</v>
      </c>
      <c r="R30" s="193"/>
      <c r="S30" s="377">
        <f t="shared" si="29"/>
        <v>44.777777777777771</v>
      </c>
      <c r="T30" s="198">
        <v>45</v>
      </c>
      <c r="U30" s="198"/>
    </row>
    <row r="31" spans="1:21" s="9" customFormat="1" ht="14.4" customHeight="1" x14ac:dyDescent="0.3">
      <c r="A31" s="504"/>
      <c r="B31" s="59" t="s">
        <v>135</v>
      </c>
      <c r="C31" s="203" t="s">
        <v>135</v>
      </c>
      <c r="D31" s="18"/>
      <c r="E31" s="18">
        <f>50+106</f>
        <v>156</v>
      </c>
      <c r="F31" s="18">
        <v>0</v>
      </c>
      <c r="G31" s="18">
        <v>0</v>
      </c>
      <c r="H31" s="18">
        <v>35</v>
      </c>
      <c r="I31" s="19"/>
      <c r="J31" s="18">
        <v>-20</v>
      </c>
      <c r="K31" s="18">
        <v>0</v>
      </c>
      <c r="L31" s="19"/>
      <c r="M31" s="50">
        <f>(SUM(F31:H31)/3)</f>
        <v>11.666666666666666</v>
      </c>
      <c r="N31" s="49">
        <f>((SUM(E31:H31))/35)</f>
        <v>5.4571428571428573</v>
      </c>
      <c r="O31" s="19"/>
      <c r="P31" s="195">
        <f t="shared" si="30"/>
        <v>16.371428571428574</v>
      </c>
      <c r="Q31" s="195">
        <f t="shared" si="28"/>
        <v>27.285714285714285</v>
      </c>
      <c r="R31" s="19"/>
      <c r="S31" s="51">
        <f t="shared" si="29"/>
        <v>47.285714285714285</v>
      </c>
      <c r="T31" s="54"/>
      <c r="U31" s="54" t="s">
        <v>140</v>
      </c>
    </row>
    <row r="32" spans="1:21" s="191" customFormat="1" ht="28.8" x14ac:dyDescent="0.3">
      <c r="A32" s="504">
        <v>29.1</v>
      </c>
      <c r="B32" s="202" t="s">
        <v>301</v>
      </c>
      <c r="C32" s="203" t="s">
        <v>350</v>
      </c>
      <c r="D32" s="192"/>
      <c r="E32" s="192">
        <f>7+18</f>
        <v>25</v>
      </c>
      <c r="F32" s="192">
        <v>92</v>
      </c>
      <c r="G32" s="192">
        <v>16</v>
      </c>
      <c r="H32" s="192">
        <v>21</v>
      </c>
      <c r="I32" s="428"/>
      <c r="J32" s="192">
        <v>0</v>
      </c>
      <c r="K32" s="192">
        <v>9</v>
      </c>
      <c r="L32" s="428"/>
      <c r="M32" s="195">
        <f>(SUM(F32:H32)-80)/3</f>
        <v>16.333333333333332</v>
      </c>
      <c r="N32" s="196">
        <f>((SUM(E32:H32))-80)/45</f>
        <v>1.6444444444444444</v>
      </c>
      <c r="O32" s="428"/>
      <c r="P32" s="195">
        <f t="shared" si="30"/>
        <v>4.9333333333333336</v>
      </c>
      <c r="Q32" s="195">
        <f t="shared" si="28"/>
        <v>8.2222222222222214</v>
      </c>
      <c r="R32" s="428"/>
      <c r="S32" s="197">
        <f t="shared" si="29"/>
        <v>-0.77777777777777857</v>
      </c>
      <c r="T32" s="198">
        <v>0</v>
      </c>
      <c r="U32" s="198"/>
    </row>
    <row r="33" spans="1:21" s="119" customFormat="1" ht="28.8" x14ac:dyDescent="0.3">
      <c r="A33" s="504">
        <v>29.1</v>
      </c>
      <c r="B33" s="117" t="s">
        <v>300</v>
      </c>
      <c r="C33" s="365">
        <v>5118180</v>
      </c>
      <c r="D33" s="366"/>
      <c r="E33" s="366">
        <f>86+52</f>
        <v>138</v>
      </c>
      <c r="F33" s="366">
        <v>75</v>
      </c>
      <c r="G33" s="366">
        <v>77</v>
      </c>
      <c r="H33" s="366">
        <v>148</v>
      </c>
      <c r="I33" s="367"/>
      <c r="J33" s="366">
        <v>8</v>
      </c>
      <c r="K33" s="366">
        <v>0</v>
      </c>
      <c r="L33" s="367"/>
      <c r="M33" s="368">
        <f t="shared" ref="M33:M34" si="31">(SUM(F33:H33)/3)</f>
        <v>100</v>
      </c>
      <c r="N33" s="196">
        <f>(SUM(E33:H33)/46)</f>
        <v>9.5217391304347831</v>
      </c>
      <c r="O33" s="367"/>
      <c r="P33" s="195">
        <f t="shared" ref="P33:P34" si="32">N33*3</f>
        <v>28.565217391304351</v>
      </c>
      <c r="Q33" s="368">
        <f t="shared" ref="Q33" si="33">N33*5</f>
        <v>47.608695652173914</v>
      </c>
      <c r="R33" s="367"/>
      <c r="S33" s="369">
        <f t="shared" ref="S33:S34" si="34">Q33-(J33+K33)</f>
        <v>39.608695652173914</v>
      </c>
      <c r="T33" s="516">
        <v>50</v>
      </c>
      <c r="U33" s="118" t="s">
        <v>400</v>
      </c>
    </row>
    <row r="34" spans="1:21" s="191" customFormat="1" x14ac:dyDescent="0.3">
      <c r="A34" s="504">
        <v>5.1100000000000003</v>
      </c>
      <c r="B34" s="202" t="s">
        <v>358</v>
      </c>
      <c r="C34" s="203">
        <v>6015100</v>
      </c>
      <c r="D34" s="194"/>
      <c r="E34" s="194">
        <f>3+23</f>
        <v>26</v>
      </c>
      <c r="F34" s="194">
        <v>19</v>
      </c>
      <c r="G34" s="194">
        <v>4</v>
      </c>
      <c r="H34" s="194">
        <v>23</v>
      </c>
      <c r="I34" s="193"/>
      <c r="J34" s="194">
        <v>3</v>
      </c>
      <c r="K34" s="194">
        <v>0</v>
      </c>
      <c r="L34" s="193"/>
      <c r="M34" s="50">
        <f t="shared" si="31"/>
        <v>15.333333333333334</v>
      </c>
      <c r="N34" s="49">
        <f>((SUM(E34:H34))/46)</f>
        <v>1.5652173913043479</v>
      </c>
      <c r="O34" s="19"/>
      <c r="P34" s="195">
        <f t="shared" si="32"/>
        <v>4.6956521739130439</v>
      </c>
      <c r="Q34" s="195">
        <f>N34*5</f>
        <v>7.8260869565217392</v>
      </c>
      <c r="R34" s="19"/>
      <c r="S34" s="197">
        <f t="shared" si="34"/>
        <v>4.8260869565217392</v>
      </c>
      <c r="T34" s="54">
        <v>5</v>
      </c>
      <c r="U34" s="198" t="s">
        <v>407</v>
      </c>
    </row>
    <row r="35" spans="1:21" s="9" customFormat="1" x14ac:dyDescent="0.3">
      <c r="A35" s="504"/>
      <c r="B35" s="59"/>
      <c r="C35" s="203"/>
      <c r="D35" s="18"/>
      <c r="E35" s="18"/>
      <c r="F35" s="18"/>
      <c r="G35" s="18"/>
      <c r="H35" s="18"/>
      <c r="I35" s="19"/>
      <c r="J35" s="18"/>
      <c r="K35" s="18"/>
      <c r="L35" s="19"/>
      <c r="M35" s="50"/>
      <c r="N35" s="49"/>
      <c r="O35" s="19"/>
      <c r="P35" s="195"/>
      <c r="Q35" s="195"/>
      <c r="R35" s="19"/>
      <c r="S35" s="51"/>
      <c r="T35" s="54"/>
      <c r="U35" s="54"/>
    </row>
    <row r="36" spans="1:21" s="191" customFormat="1" ht="43.2" x14ac:dyDescent="0.3">
      <c r="A36" s="504">
        <v>19.11</v>
      </c>
      <c r="B36" s="202" t="s">
        <v>419</v>
      </c>
      <c r="C36" s="203">
        <v>15310601044</v>
      </c>
      <c r="D36" s="194"/>
      <c r="E36" s="194">
        <f>10+47</f>
        <v>57</v>
      </c>
      <c r="F36" s="194">
        <v>101</v>
      </c>
      <c r="G36" s="194">
        <v>155</v>
      </c>
      <c r="H36" s="194">
        <v>221</v>
      </c>
      <c r="I36" s="193"/>
      <c r="J36" s="194">
        <v>21</v>
      </c>
      <c r="K36" s="194">
        <v>0</v>
      </c>
      <c r="L36" s="193"/>
      <c r="M36" s="195">
        <f>(SUM(F36:H36)/3)</f>
        <v>159</v>
      </c>
      <c r="N36" s="196">
        <f>(SUM(E36:H36)/47)</f>
        <v>11.361702127659575</v>
      </c>
      <c r="O36" s="428"/>
      <c r="P36" s="195">
        <f t="shared" ref="P36:P39" si="35">N36*3</f>
        <v>34.085106382978722</v>
      </c>
      <c r="Q36" s="195">
        <f t="shared" ref="Q36:Q39" si="36">N36*5</f>
        <v>56.808510638297875</v>
      </c>
      <c r="R36" s="193"/>
      <c r="S36" s="197">
        <f>Q36-(J36+K36)</f>
        <v>35.808510638297875</v>
      </c>
      <c r="T36" s="198">
        <v>10</v>
      </c>
      <c r="U36" s="198" t="s">
        <v>396</v>
      </c>
    </row>
    <row r="37" spans="1:21" s="9" customFormat="1" ht="14.4" customHeight="1" x14ac:dyDescent="0.3">
      <c r="A37" s="504">
        <v>19.11</v>
      </c>
      <c r="B37" s="59" t="s">
        <v>273</v>
      </c>
      <c r="C37" s="203">
        <v>6017103</v>
      </c>
      <c r="D37" s="18"/>
      <c r="E37" s="18">
        <v>171</v>
      </c>
      <c r="F37" s="18">
        <v>52</v>
      </c>
      <c r="G37" s="18">
        <v>48</v>
      </c>
      <c r="H37" s="18">
        <v>143</v>
      </c>
      <c r="I37" s="19"/>
      <c r="J37" s="18">
        <v>7</v>
      </c>
      <c r="K37" s="18">
        <v>0</v>
      </c>
      <c r="L37" s="19"/>
      <c r="M37" s="50">
        <f>(SUM(F37:H37)/3)</f>
        <v>81</v>
      </c>
      <c r="N37" s="49">
        <f>(SUM(E37:H37)/47)</f>
        <v>8.8085106382978715</v>
      </c>
      <c r="O37" s="19"/>
      <c r="P37" s="195">
        <f t="shared" si="35"/>
        <v>26.425531914893615</v>
      </c>
      <c r="Q37" s="195">
        <f t="shared" si="36"/>
        <v>44.042553191489361</v>
      </c>
      <c r="R37" s="19"/>
      <c r="S37" s="51">
        <f>Q37-(J37+K37)</f>
        <v>37.042553191489361</v>
      </c>
      <c r="T37" s="54">
        <v>25</v>
      </c>
      <c r="U37" s="54" t="s">
        <v>418</v>
      </c>
    </row>
    <row r="38" spans="1:21" s="191" customFormat="1" ht="28.8" x14ac:dyDescent="0.3">
      <c r="A38" s="504"/>
      <c r="B38" s="202" t="s">
        <v>298</v>
      </c>
      <c r="C38" s="203">
        <v>6110141</v>
      </c>
      <c r="D38" s="194"/>
      <c r="E38" s="194">
        <f>6+15</f>
        <v>21</v>
      </c>
      <c r="F38" s="194">
        <v>22</v>
      </c>
      <c r="G38" s="194">
        <v>25</v>
      </c>
      <c r="H38" s="194">
        <v>46</v>
      </c>
      <c r="I38" s="193"/>
      <c r="J38" s="194">
        <v>6</v>
      </c>
      <c r="K38" s="194">
        <v>0</v>
      </c>
      <c r="L38" s="193"/>
      <c r="M38" s="196">
        <f>SUM(F38:H38)/3</f>
        <v>31</v>
      </c>
      <c r="N38" s="196">
        <f>(SUM(E38:H38)/47)</f>
        <v>2.4255319148936172</v>
      </c>
      <c r="O38" s="363"/>
      <c r="P38" s="196">
        <f>N38*3</f>
        <v>7.2765957446808516</v>
      </c>
      <c r="Q38" s="196">
        <f>N38*5</f>
        <v>12.127659574468087</v>
      </c>
      <c r="R38" s="363"/>
      <c r="S38" s="364">
        <f t="shared" ref="S38" si="37">Q38-(J38+K38)</f>
        <v>6.1276595744680868</v>
      </c>
      <c r="T38" s="247">
        <v>6</v>
      </c>
      <c r="U38" s="198"/>
    </row>
    <row r="39" spans="1:21" s="191" customFormat="1" ht="28.8" x14ac:dyDescent="0.3">
      <c r="A39" s="504">
        <v>26.11</v>
      </c>
      <c r="B39" s="506" t="s">
        <v>422</v>
      </c>
      <c r="C39" s="370" t="s">
        <v>423</v>
      </c>
      <c r="D39" s="507"/>
      <c r="E39" s="507">
        <f>10+35+9</f>
        <v>54</v>
      </c>
      <c r="F39" s="507">
        <v>42</v>
      </c>
      <c r="G39" s="507">
        <v>20</v>
      </c>
      <c r="H39" s="507">
        <v>38</v>
      </c>
      <c r="I39" s="193"/>
      <c r="J39" s="508">
        <v>6</v>
      </c>
      <c r="K39" s="508">
        <v>0</v>
      </c>
      <c r="L39" s="193"/>
      <c r="M39" s="371">
        <f>SUM(F39:H39)/3</f>
        <v>33.333333333333336</v>
      </c>
      <c r="N39" s="509">
        <f>(SUM(E39:H39)/47)</f>
        <v>3.2765957446808511</v>
      </c>
      <c r="O39" s="193"/>
      <c r="P39" s="371">
        <f t="shared" si="35"/>
        <v>9.8297872340425538</v>
      </c>
      <c r="Q39" s="371">
        <f t="shared" si="36"/>
        <v>16.382978723404257</v>
      </c>
      <c r="R39" s="193"/>
      <c r="S39" s="510">
        <f>Q39-(J39+K39)</f>
        <v>10.382978723404257</v>
      </c>
      <c r="T39" s="198">
        <v>15</v>
      </c>
      <c r="U39" s="198" t="s">
        <v>432</v>
      </c>
    </row>
    <row r="40" spans="1:21" s="9" customFormat="1" ht="14.4" customHeight="1" x14ac:dyDescent="0.3">
      <c r="A40" s="504"/>
      <c r="B40" s="59" t="s">
        <v>59</v>
      </c>
      <c r="C40" s="203">
        <v>6110139</v>
      </c>
      <c r="D40" s="18"/>
      <c r="E40" s="18">
        <f>7+7</f>
        <v>14</v>
      </c>
      <c r="F40" s="18">
        <v>11</v>
      </c>
      <c r="G40" s="18">
        <v>5</v>
      </c>
      <c r="H40" s="18">
        <v>24</v>
      </c>
      <c r="I40" s="19"/>
      <c r="J40" s="18">
        <v>-1</v>
      </c>
      <c r="K40" s="18">
        <v>0</v>
      </c>
      <c r="L40" s="19"/>
      <c r="M40" s="50">
        <f>SUM(F40:H40)/3</f>
        <v>13.333333333333334</v>
      </c>
      <c r="N40" s="49">
        <f>(SUM(E40:H40)/47)</f>
        <v>1.1489361702127661</v>
      </c>
      <c r="O40" s="19"/>
      <c r="P40" s="195">
        <f>N40*3</f>
        <v>3.4468085106382982</v>
      </c>
      <c r="Q40" s="195">
        <f>N40*5</f>
        <v>5.7446808510638299</v>
      </c>
      <c r="R40" s="193"/>
      <c r="S40" s="197">
        <f>Q40-(J40+K40)</f>
        <v>6.7446808510638299</v>
      </c>
      <c r="T40" s="247">
        <v>6</v>
      </c>
      <c r="U40" s="54"/>
    </row>
    <row r="41" spans="1:21" s="9" customFormat="1" ht="14.4" customHeight="1" x14ac:dyDescent="0.3">
      <c r="A41" s="504"/>
      <c r="B41" s="59"/>
      <c r="C41" s="203"/>
      <c r="D41" s="18"/>
      <c r="E41" s="18"/>
      <c r="F41" s="18"/>
      <c r="G41" s="18"/>
      <c r="H41" s="18"/>
      <c r="I41" s="19"/>
      <c r="J41" s="18"/>
      <c r="K41" s="18"/>
      <c r="L41" s="19"/>
      <c r="M41" s="50"/>
      <c r="N41" s="49"/>
      <c r="O41" s="19"/>
      <c r="P41" s="195"/>
      <c r="Q41" s="195"/>
      <c r="R41" s="19"/>
      <c r="S41" s="51"/>
      <c r="T41" s="54"/>
      <c r="U41" s="171"/>
    </row>
    <row r="42" spans="1:21" s="191" customFormat="1" x14ac:dyDescent="0.3">
      <c r="A42" s="504"/>
      <c r="B42" s="202"/>
      <c r="C42" s="203"/>
      <c r="D42" s="194"/>
      <c r="E42" s="194"/>
      <c r="F42" s="194"/>
      <c r="G42" s="194"/>
      <c r="H42" s="194"/>
      <c r="I42" s="194"/>
      <c r="J42" s="194"/>
      <c r="K42" s="194"/>
      <c r="L42" s="194"/>
      <c r="M42" s="196"/>
      <c r="N42" s="196"/>
      <c r="O42" s="194"/>
      <c r="P42" s="195"/>
      <c r="Q42" s="195"/>
      <c r="R42" s="194"/>
      <c r="S42" s="197"/>
      <c r="T42" s="198"/>
      <c r="U42" s="198"/>
    </row>
    <row r="43" spans="1:21" s="191" customFormat="1" x14ac:dyDescent="0.3">
      <c r="A43" s="504">
        <v>14.01</v>
      </c>
      <c r="B43" s="213" t="s">
        <v>469</v>
      </c>
      <c r="C43" s="203">
        <v>5410110</v>
      </c>
      <c r="D43" s="194">
        <f>8+19</f>
        <v>27</v>
      </c>
      <c r="E43" s="194">
        <v>182</v>
      </c>
      <c r="F43" s="194">
        <v>159</v>
      </c>
      <c r="G43" s="194">
        <v>243</v>
      </c>
      <c r="H43" s="194">
        <v>274</v>
      </c>
      <c r="I43" s="194"/>
      <c r="J43" s="194">
        <v>49</v>
      </c>
      <c r="K43" s="194">
        <v>0</v>
      </c>
      <c r="L43" s="194"/>
      <c r="M43" s="195">
        <f>(SUM(E43:G43)/3)</f>
        <v>194.66666666666666</v>
      </c>
      <c r="N43" s="196">
        <f>((SUM(D43:G43))/36)</f>
        <v>16.972222222222221</v>
      </c>
      <c r="O43" s="18"/>
      <c r="P43" s="195">
        <f>N43*3</f>
        <v>50.916666666666664</v>
      </c>
      <c r="Q43" s="195">
        <f>N43*5</f>
        <v>84.861111111111114</v>
      </c>
      <c r="R43" s="18"/>
      <c r="S43" s="51">
        <f>Q43-(J43+K43)</f>
        <v>35.861111111111114</v>
      </c>
      <c r="T43" s="198">
        <v>36</v>
      </c>
      <c r="U43" s="198"/>
    </row>
    <row r="44" spans="1:21" s="191" customFormat="1" x14ac:dyDescent="0.3">
      <c r="A44" s="504"/>
      <c r="B44" s="213"/>
      <c r="C44" s="203"/>
      <c r="D44" s="194"/>
      <c r="E44" s="194"/>
      <c r="F44" s="194"/>
      <c r="G44" s="194"/>
      <c r="H44" s="194"/>
      <c r="I44" s="194"/>
      <c r="J44" s="194"/>
      <c r="K44" s="194"/>
      <c r="L44" s="194"/>
      <c r="M44" s="50"/>
      <c r="N44" s="49"/>
      <c r="O44" s="18"/>
      <c r="P44" s="195"/>
      <c r="Q44" s="195"/>
      <c r="R44" s="18"/>
      <c r="S44" s="51"/>
      <c r="T44" s="198"/>
      <c r="U44" s="198"/>
    </row>
    <row r="45" spans="1:21" s="191" customFormat="1" x14ac:dyDescent="0.3">
      <c r="A45" s="504">
        <v>14.01</v>
      </c>
      <c r="B45" s="200" t="s">
        <v>473</v>
      </c>
      <c r="C45" s="578">
        <v>6017252</v>
      </c>
      <c r="D45" s="192">
        <v>7</v>
      </c>
      <c r="E45" s="192">
        <v>112</v>
      </c>
      <c r="F45" s="192">
        <v>23</v>
      </c>
      <c r="G45" s="192">
        <v>15</v>
      </c>
      <c r="H45" s="192">
        <v>16</v>
      </c>
      <c r="I45" s="192"/>
      <c r="J45" s="192">
        <v>1</v>
      </c>
      <c r="K45" s="192">
        <v>0</v>
      </c>
      <c r="L45" s="192"/>
      <c r="M45" s="195">
        <f>(SUM(E45:G45)/3)</f>
        <v>50</v>
      </c>
      <c r="N45" s="196">
        <f>((SUM(D45:G45))/36)</f>
        <v>4.3611111111111107</v>
      </c>
      <c r="O45" s="606"/>
      <c r="P45" s="582">
        <f>N45*3</f>
        <v>13.083333333333332</v>
      </c>
      <c r="Q45" s="582">
        <f>N45*5</f>
        <v>21.805555555555554</v>
      </c>
      <c r="R45" s="606"/>
      <c r="S45" s="583">
        <f>Q45-(J45+K45)</f>
        <v>20.805555555555554</v>
      </c>
      <c r="T45" s="607">
        <v>21</v>
      </c>
      <c r="U45" s="584" t="s">
        <v>464</v>
      </c>
    </row>
    <row r="46" spans="1:21" s="191" customFormat="1" x14ac:dyDescent="0.3">
      <c r="A46" s="504"/>
      <c r="B46" s="202"/>
      <c r="C46" s="203"/>
      <c r="D46" s="194"/>
      <c r="E46" s="194"/>
      <c r="F46" s="194"/>
      <c r="G46" s="194"/>
      <c r="H46" s="194"/>
      <c r="I46" s="194"/>
      <c r="J46" s="194"/>
      <c r="K46" s="194"/>
      <c r="L46" s="194"/>
      <c r="M46" s="196"/>
      <c r="N46" s="196"/>
      <c r="O46" s="608"/>
      <c r="P46" s="196"/>
      <c r="Q46" s="196"/>
      <c r="R46" s="608"/>
      <c r="S46" s="364"/>
      <c r="T46" s="247"/>
      <c r="U46" s="198"/>
    </row>
    <row r="47" spans="1:21" s="191" customFormat="1" x14ac:dyDescent="0.3">
      <c r="A47" s="504"/>
      <c r="B47" s="213"/>
      <c r="C47" s="203"/>
      <c r="D47" s="194"/>
      <c r="E47" s="194"/>
      <c r="F47" s="194"/>
      <c r="G47" s="194"/>
      <c r="H47" s="194"/>
      <c r="I47" s="194"/>
      <c r="J47" s="194"/>
      <c r="K47" s="194"/>
      <c r="L47" s="194"/>
      <c r="M47" s="50"/>
      <c r="N47" s="49"/>
      <c r="O47" s="18"/>
      <c r="P47" s="195"/>
      <c r="Q47" s="195"/>
      <c r="R47" s="18"/>
      <c r="S47" s="51"/>
      <c r="T47" s="198"/>
      <c r="U47" s="198"/>
    </row>
    <row r="48" spans="1:21" s="191" customFormat="1" ht="28.8" x14ac:dyDescent="0.3">
      <c r="A48" s="504">
        <v>14.01</v>
      </c>
      <c r="B48" s="202" t="s">
        <v>476</v>
      </c>
      <c r="C48" s="203" t="s">
        <v>352</v>
      </c>
      <c r="D48" s="192">
        <v>8</v>
      </c>
      <c r="E48" s="192">
        <v>68</v>
      </c>
      <c r="F48" s="192">
        <v>47</v>
      </c>
      <c r="G48" s="192">
        <v>39</v>
      </c>
      <c r="H48" s="192">
        <v>82</v>
      </c>
      <c r="I48" s="192"/>
      <c r="J48" s="192">
        <v>12</v>
      </c>
      <c r="K48" s="192">
        <v>0</v>
      </c>
      <c r="L48" s="192"/>
      <c r="M48" s="195">
        <f>(SUM(E48:G48)/3)</f>
        <v>51.333333333333336</v>
      </c>
      <c r="N48" s="196">
        <f>(SUM(D48:G48)/36)</f>
        <v>4.5</v>
      </c>
      <c r="O48" s="192"/>
      <c r="P48" s="195">
        <f>N48*3</f>
        <v>13.5</v>
      </c>
      <c r="Q48" s="195">
        <f>N48*5</f>
        <v>22.5</v>
      </c>
      <c r="R48" s="192"/>
      <c r="S48" s="197">
        <f>Q48-(J48+K48)</f>
        <v>10.5</v>
      </c>
      <c r="T48" s="198">
        <v>11</v>
      </c>
      <c r="U48" s="198"/>
    </row>
    <row r="49" spans="1:21" s="191" customFormat="1" x14ac:dyDescent="0.3">
      <c r="A49" s="504"/>
      <c r="B49" s="202"/>
      <c r="C49" s="203"/>
      <c r="D49" s="194"/>
      <c r="E49" s="194"/>
      <c r="F49" s="194"/>
      <c r="G49" s="194"/>
      <c r="H49" s="194"/>
      <c r="I49" s="194"/>
      <c r="J49" s="194"/>
      <c r="K49" s="194"/>
      <c r="L49" s="194"/>
      <c r="M49" s="195"/>
      <c r="N49" s="196"/>
      <c r="O49" s="194"/>
      <c r="P49" s="195"/>
      <c r="Q49" s="195"/>
      <c r="R49" s="194"/>
      <c r="S49" s="197"/>
      <c r="T49" s="198"/>
      <c r="U49" s="198"/>
    </row>
    <row r="50" spans="1:21" s="191" customFormat="1" ht="28.8" x14ac:dyDescent="0.3">
      <c r="A50" s="504">
        <v>14.01</v>
      </c>
      <c r="B50" s="202" t="s">
        <v>478</v>
      </c>
      <c r="C50" s="203">
        <v>5118121</v>
      </c>
      <c r="D50" s="194">
        <v>17</v>
      </c>
      <c r="E50" s="194">
        <v>95</v>
      </c>
      <c r="F50" s="194">
        <v>77</v>
      </c>
      <c r="G50" s="194">
        <v>91</v>
      </c>
      <c r="H50" s="194">
        <v>62</v>
      </c>
      <c r="I50" s="194"/>
      <c r="J50" s="194">
        <v>14</v>
      </c>
      <c r="K50" s="194">
        <v>0</v>
      </c>
      <c r="L50" s="194"/>
      <c r="M50" s="195">
        <f>(SUM(E50:G50)/3)</f>
        <v>87.666666666666671</v>
      </c>
      <c r="N50" s="196">
        <f>(SUM(D50:G50)/36)</f>
        <v>7.7777777777777777</v>
      </c>
      <c r="O50" s="608"/>
      <c r="P50" s="195">
        <f>N50*3</f>
        <v>23.333333333333332</v>
      </c>
      <c r="Q50" s="196">
        <f>N50*5</f>
        <v>38.888888888888886</v>
      </c>
      <c r="R50" s="608"/>
      <c r="S50" s="364">
        <f>Q50-(J50+K50)</f>
        <v>24.888888888888886</v>
      </c>
      <c r="T50" s="247">
        <v>25</v>
      </c>
      <c r="U50" s="198" t="s">
        <v>299</v>
      </c>
    </row>
    <row r="51" spans="1:21" s="191" customFormat="1" x14ac:dyDescent="0.3">
      <c r="A51" s="504"/>
      <c r="B51" s="202"/>
      <c r="C51" s="203"/>
      <c r="D51" s="194"/>
      <c r="E51" s="194"/>
      <c r="F51" s="194"/>
      <c r="G51" s="194"/>
      <c r="H51" s="194"/>
      <c r="I51" s="194"/>
      <c r="J51" s="194"/>
      <c r="K51" s="194"/>
      <c r="L51" s="194"/>
      <c r="M51" s="196"/>
      <c r="N51" s="196"/>
      <c r="O51" s="608"/>
      <c r="P51" s="195"/>
      <c r="Q51" s="196"/>
      <c r="R51" s="608"/>
      <c r="S51" s="364"/>
      <c r="T51" s="247"/>
      <c r="U51" s="198"/>
    </row>
    <row r="52" spans="1:21" s="191" customFormat="1" x14ac:dyDescent="0.3">
      <c r="A52" s="504">
        <v>7.01</v>
      </c>
      <c r="B52" s="202" t="s">
        <v>468</v>
      </c>
      <c r="C52" s="203" t="s">
        <v>92</v>
      </c>
      <c r="D52" s="194"/>
      <c r="E52" s="194">
        <v>253</v>
      </c>
      <c r="F52" s="194">
        <v>91</v>
      </c>
      <c r="G52" s="194">
        <v>85</v>
      </c>
      <c r="H52" s="194">
        <v>318</v>
      </c>
      <c r="I52" s="194"/>
      <c r="J52" s="194">
        <v>-7</v>
      </c>
      <c r="K52" s="194">
        <v>39</v>
      </c>
      <c r="L52" s="194"/>
      <c r="M52" s="195">
        <f>(SUM(E52:G52)/3)</f>
        <v>143</v>
      </c>
      <c r="N52" s="196">
        <f>((SUM(D52:G52))/36)</f>
        <v>11.916666666666666</v>
      </c>
      <c r="O52" s="194"/>
      <c r="P52" s="195">
        <f>N52*3</f>
        <v>35.75</v>
      </c>
      <c r="Q52" s="195">
        <f>N52*5</f>
        <v>59.583333333333329</v>
      </c>
      <c r="R52" s="194"/>
      <c r="S52" s="197">
        <f>Q52-(J52+K52)</f>
        <v>27.583333333333329</v>
      </c>
      <c r="T52" s="197">
        <v>28</v>
      </c>
      <c r="U52" s="431"/>
    </row>
    <row r="53" spans="1:21" s="9" customFormat="1" x14ac:dyDescent="0.3">
      <c r="A53" s="504"/>
      <c r="B53" s="59"/>
      <c r="C53" s="203"/>
      <c r="D53" s="18"/>
      <c r="E53" s="18"/>
      <c r="F53" s="18"/>
      <c r="G53" s="18"/>
      <c r="H53" s="18"/>
      <c r="I53" s="19"/>
      <c r="J53" s="18"/>
      <c r="K53" s="18"/>
      <c r="L53" s="19"/>
      <c r="M53" s="50"/>
      <c r="N53" s="49"/>
      <c r="O53" s="19"/>
      <c r="P53" s="195"/>
      <c r="Q53" s="195"/>
      <c r="R53" s="19"/>
      <c r="S53" s="51"/>
      <c r="T53" s="54"/>
      <c r="U53" s="54"/>
    </row>
    <row r="54" spans="1:21" s="9" customFormat="1" x14ac:dyDescent="0.3">
      <c r="A54" s="504"/>
      <c r="B54" s="59"/>
      <c r="C54" s="203"/>
      <c r="D54" s="18"/>
      <c r="E54" s="18"/>
      <c r="F54" s="18"/>
      <c r="G54" s="18"/>
      <c r="H54" s="18"/>
      <c r="I54" s="19"/>
      <c r="J54" s="18"/>
      <c r="K54" s="18"/>
      <c r="L54" s="19"/>
      <c r="M54" s="50"/>
      <c r="N54" s="49"/>
      <c r="O54" s="19"/>
      <c r="P54" s="195"/>
      <c r="Q54" s="195"/>
      <c r="R54" s="19"/>
      <c r="S54" s="51"/>
      <c r="T54" s="54"/>
      <c r="U54" s="54"/>
    </row>
    <row r="55" spans="1:21" s="191" customFormat="1" x14ac:dyDescent="0.3">
      <c r="A55" s="504">
        <v>14.01</v>
      </c>
      <c r="B55" s="200" t="s">
        <v>474</v>
      </c>
      <c r="C55" s="203">
        <v>6017250</v>
      </c>
      <c r="D55" s="194">
        <v>4</v>
      </c>
      <c r="E55" s="194">
        <v>35</v>
      </c>
      <c r="F55" s="194">
        <v>7</v>
      </c>
      <c r="G55" s="194">
        <v>1</v>
      </c>
      <c r="H55" s="194">
        <v>6</v>
      </c>
      <c r="I55" s="193"/>
      <c r="J55" s="194">
        <v>-3</v>
      </c>
      <c r="K55" s="194">
        <v>10</v>
      </c>
      <c r="L55" s="193"/>
      <c r="M55" s="195">
        <f>SUM(E55:G55)/3</f>
        <v>14.333333333333334</v>
      </c>
      <c r="N55" s="196">
        <f>(SUM(D55:G55)/36)</f>
        <v>1.3055555555555556</v>
      </c>
      <c r="O55" s="193"/>
      <c r="P55" s="195">
        <f>N55*3</f>
        <v>3.916666666666667</v>
      </c>
      <c r="Q55" s="195">
        <f>N55*5</f>
        <v>6.5277777777777777</v>
      </c>
      <c r="R55" s="193"/>
      <c r="S55" s="197">
        <f>Q55-(J55+K55)</f>
        <v>-0.47222222222222232</v>
      </c>
      <c r="T55" s="198">
        <v>12</v>
      </c>
      <c r="U55" s="431" t="s">
        <v>475</v>
      </c>
    </row>
    <row r="56" spans="1:21" s="191" customFormat="1" x14ac:dyDescent="0.3">
      <c r="A56" s="504"/>
      <c r="B56" s="202"/>
      <c r="C56" s="203"/>
      <c r="D56" s="194"/>
      <c r="E56" s="194"/>
      <c r="F56" s="194"/>
      <c r="G56" s="194"/>
      <c r="H56" s="194"/>
      <c r="I56" s="193"/>
      <c r="J56" s="194"/>
      <c r="K56" s="194"/>
      <c r="L56" s="193"/>
      <c r="M56" s="195"/>
      <c r="N56" s="196"/>
      <c r="O56" s="193"/>
      <c r="P56" s="195"/>
      <c r="Q56" s="195"/>
      <c r="R56" s="193"/>
      <c r="S56" s="197"/>
      <c r="T56" s="198"/>
      <c r="U56" s="198"/>
    </row>
    <row r="57" spans="1:21" s="191" customFormat="1" x14ac:dyDescent="0.3">
      <c r="A57" s="504"/>
      <c r="B57" s="372" t="s">
        <v>450</v>
      </c>
      <c r="C57" s="190">
        <v>6110120</v>
      </c>
      <c r="D57" s="374">
        <v>1</v>
      </c>
      <c r="E57" s="374">
        <v>79</v>
      </c>
      <c r="F57" s="374">
        <v>74</v>
      </c>
      <c r="G57" s="374">
        <v>161</v>
      </c>
      <c r="H57" s="374">
        <v>111</v>
      </c>
      <c r="I57" s="375"/>
      <c r="J57" s="374">
        <v>10</v>
      </c>
      <c r="K57" s="374">
        <v>0</v>
      </c>
      <c r="L57" s="375"/>
      <c r="M57" s="8">
        <f>(SUM(E57:G57)/3)</f>
        <v>104.66666666666667</v>
      </c>
      <c r="N57" s="47">
        <f>(SUM(D57:G57)/36)</f>
        <v>8.75</v>
      </c>
      <c r="O57" s="7"/>
      <c r="P57" s="376">
        <f>N57*3</f>
        <v>26.25</v>
      </c>
      <c r="Q57" s="376">
        <f>N57*5</f>
        <v>43.75</v>
      </c>
      <c r="R57" s="7"/>
      <c r="S57" s="574">
        <f>Q57-(J57+K57)</f>
        <v>33.75</v>
      </c>
      <c r="T57" s="579"/>
      <c r="U57" s="571"/>
    </row>
    <row r="58" spans="1:21" s="191" customFormat="1" x14ac:dyDescent="0.3">
      <c r="A58" s="504"/>
      <c r="B58" s="562" t="s">
        <v>451</v>
      </c>
      <c r="C58" s="101">
        <v>6110120</v>
      </c>
      <c r="D58" s="192"/>
      <c r="E58" s="192"/>
      <c r="F58" s="192"/>
      <c r="G58" s="192"/>
      <c r="H58" s="192"/>
      <c r="I58" s="428"/>
      <c r="J58" s="192">
        <v>29</v>
      </c>
      <c r="K58" s="192">
        <v>0</v>
      </c>
      <c r="L58" s="428"/>
      <c r="M58" s="74"/>
      <c r="N58" s="75"/>
      <c r="O58" s="43"/>
      <c r="P58" s="563"/>
      <c r="Q58" s="563"/>
      <c r="R58" s="43"/>
      <c r="S58" s="575"/>
      <c r="T58" s="580"/>
      <c r="U58" s="572"/>
    </row>
    <row r="59" spans="1:21" s="191" customFormat="1" x14ac:dyDescent="0.3">
      <c r="A59" s="504">
        <v>7.01</v>
      </c>
      <c r="B59" s="565" t="s">
        <v>99</v>
      </c>
      <c r="C59" s="566"/>
      <c r="D59" s="567">
        <f>SUM(D57:D58)</f>
        <v>1</v>
      </c>
      <c r="E59" s="567">
        <f t="shared" ref="E59:H59" si="38">SUM(E57:E58)</f>
        <v>79</v>
      </c>
      <c r="F59" s="567">
        <f t="shared" si="38"/>
        <v>74</v>
      </c>
      <c r="G59" s="567">
        <f t="shared" si="38"/>
        <v>161</v>
      </c>
      <c r="H59" s="567">
        <f t="shared" si="38"/>
        <v>111</v>
      </c>
      <c r="I59" s="564"/>
      <c r="J59" s="567">
        <f t="shared" ref="J59" si="39">SUM(J57:J58)</f>
        <v>39</v>
      </c>
      <c r="K59" s="567">
        <f t="shared" ref="K59" si="40">SUM(K57:K58)</f>
        <v>0</v>
      </c>
      <c r="L59" s="564"/>
      <c r="M59" s="568">
        <f>(SUM(E59:G59)/3)</f>
        <v>104.66666666666667</v>
      </c>
      <c r="N59" s="569">
        <f>(SUM(D59:G59)/36)</f>
        <v>8.75</v>
      </c>
      <c r="O59" s="564"/>
      <c r="P59" s="570">
        <f>N59*3</f>
        <v>26.25</v>
      </c>
      <c r="Q59" s="570">
        <f>N59*5</f>
        <v>43.75</v>
      </c>
      <c r="R59" s="564"/>
      <c r="S59" s="576">
        <f>Q59-(J59+K59)</f>
        <v>4.75</v>
      </c>
      <c r="T59" s="577"/>
      <c r="U59" s="573" t="s">
        <v>459</v>
      </c>
    </row>
    <row r="60" spans="1:21" s="9" customFormat="1" x14ac:dyDescent="0.3">
      <c r="A60" s="504"/>
      <c r="B60" s="59"/>
      <c r="C60" s="203"/>
      <c r="D60" s="18"/>
      <c r="E60" s="18"/>
      <c r="F60" s="18"/>
      <c r="G60" s="18"/>
      <c r="H60" s="18"/>
      <c r="I60" s="19"/>
      <c r="J60" s="18"/>
      <c r="K60" s="18"/>
      <c r="L60" s="19"/>
      <c r="M60" s="50"/>
      <c r="N60" s="49"/>
      <c r="O60" s="19"/>
      <c r="P60" s="195"/>
      <c r="Q60" s="195"/>
      <c r="R60" s="19"/>
      <c r="S60" s="51"/>
      <c r="T60" s="54"/>
      <c r="U60" s="54"/>
    </row>
    <row r="61" spans="1:21" s="191" customFormat="1" x14ac:dyDescent="0.3">
      <c r="A61" s="672"/>
      <c r="B61" s="473" t="s">
        <v>211</v>
      </c>
      <c r="C61" s="474"/>
      <c r="D61" s="475"/>
      <c r="E61" s="475"/>
      <c r="F61" s="475"/>
      <c r="G61" s="475"/>
      <c r="H61" s="475"/>
      <c r="I61" s="193"/>
      <c r="J61" s="194"/>
      <c r="K61" s="194"/>
      <c r="L61" s="193"/>
      <c r="M61" s="195"/>
      <c r="N61" s="196"/>
      <c r="O61" s="193"/>
      <c r="P61" s="195"/>
      <c r="Q61" s="195"/>
      <c r="R61" s="193"/>
      <c r="S61" s="197"/>
      <c r="T61" s="198"/>
      <c r="U61" s="198"/>
    </row>
    <row r="62" spans="1:21" s="9" customFormat="1" x14ac:dyDescent="0.3">
      <c r="A62" s="504"/>
      <c r="B62" s="59"/>
      <c r="C62" s="203"/>
      <c r="D62" s="18"/>
      <c r="E62" s="18"/>
      <c r="F62" s="18"/>
      <c r="G62" s="18"/>
      <c r="H62" s="18"/>
      <c r="I62" s="19"/>
      <c r="J62" s="18"/>
      <c r="K62" s="18"/>
      <c r="L62" s="19"/>
      <c r="M62" s="50"/>
      <c r="N62" s="49"/>
      <c r="O62" s="19"/>
      <c r="P62" s="195"/>
      <c r="Q62" s="195"/>
      <c r="R62" s="19"/>
      <c r="S62" s="51"/>
      <c r="T62" s="54"/>
      <c r="U62" s="54"/>
    </row>
    <row r="63" spans="1:21" s="9" customFormat="1" ht="14.4" customHeight="1" x14ac:dyDescent="0.3">
      <c r="A63" s="504">
        <v>19.02</v>
      </c>
      <c r="B63" s="59" t="s">
        <v>507</v>
      </c>
      <c r="C63" s="495">
        <v>100014</v>
      </c>
      <c r="D63" s="18"/>
      <c r="E63" s="18">
        <v>21</v>
      </c>
      <c r="F63" s="18">
        <v>36</v>
      </c>
      <c r="G63" s="18">
        <v>31</v>
      </c>
      <c r="H63" s="18">
        <v>21</v>
      </c>
      <c r="I63" s="19"/>
      <c r="J63" s="18">
        <v>0</v>
      </c>
      <c r="K63" s="18">
        <v>0</v>
      </c>
      <c r="L63" s="19"/>
      <c r="M63" s="50">
        <f>(SUM(E63:G63)/3)</f>
        <v>29.333333333333332</v>
      </c>
      <c r="N63" s="49">
        <f>((SUM(D63:G63))/37)</f>
        <v>2.3783783783783785</v>
      </c>
      <c r="O63" s="19"/>
      <c r="P63" s="195">
        <f>N63*3</f>
        <v>7.1351351351351351</v>
      </c>
      <c r="Q63" s="195">
        <f>N63*5</f>
        <v>11.891891891891893</v>
      </c>
      <c r="R63" s="19"/>
      <c r="S63" s="51">
        <f>Q63-(J63+K63)</f>
        <v>11.891891891891893</v>
      </c>
      <c r="T63" s="54">
        <v>0</v>
      </c>
      <c r="U63" s="171" t="s">
        <v>399</v>
      </c>
    </row>
    <row r="64" spans="1:21" s="9" customFormat="1" x14ac:dyDescent="0.3">
      <c r="A64" s="504"/>
      <c r="B64" s="59"/>
      <c r="C64" s="203"/>
      <c r="D64" s="18"/>
      <c r="E64" s="18"/>
      <c r="F64" s="18"/>
      <c r="G64" s="18"/>
      <c r="H64" s="18"/>
      <c r="I64" s="19"/>
      <c r="J64" s="18"/>
      <c r="K64" s="18"/>
      <c r="L64" s="19"/>
      <c r="M64" s="50"/>
      <c r="N64" s="49"/>
      <c r="O64" s="19"/>
      <c r="P64" s="195"/>
      <c r="Q64" s="195"/>
      <c r="R64" s="19"/>
      <c r="S64" s="51"/>
      <c r="T64" s="54"/>
      <c r="U64" s="54"/>
    </row>
    <row r="65" spans="1:21" s="9" customFormat="1" x14ac:dyDescent="0.3">
      <c r="A65" s="504"/>
      <c r="B65" s="58" t="s">
        <v>461</v>
      </c>
      <c r="C65" s="373">
        <v>6111100</v>
      </c>
      <c r="D65" s="6">
        <v>0</v>
      </c>
      <c r="E65" s="6">
        <v>1</v>
      </c>
      <c r="F65" s="6">
        <v>15</v>
      </c>
      <c r="G65" s="6">
        <v>16</v>
      </c>
      <c r="H65" s="6">
        <v>38</v>
      </c>
      <c r="I65" s="7"/>
      <c r="J65" s="6">
        <v>8</v>
      </c>
      <c r="K65" s="6">
        <v>0</v>
      </c>
      <c r="L65" s="7"/>
      <c r="M65" s="8"/>
      <c r="N65" s="47"/>
      <c r="O65" s="7"/>
      <c r="P65" s="376"/>
      <c r="Q65" s="376"/>
      <c r="R65" s="7"/>
      <c r="S65" s="574"/>
      <c r="T65" s="581"/>
      <c r="U65" s="571"/>
    </row>
    <row r="66" spans="1:21" s="191" customFormat="1" x14ac:dyDescent="0.3">
      <c r="A66" s="504"/>
      <c r="B66" s="562" t="s">
        <v>462</v>
      </c>
      <c r="C66" s="101">
        <v>6111100</v>
      </c>
      <c r="D66" s="192">
        <v>0</v>
      </c>
      <c r="E66" s="192">
        <v>0</v>
      </c>
      <c r="F66" s="192">
        <v>0</v>
      </c>
      <c r="G66" s="192">
        <v>0</v>
      </c>
      <c r="H66" s="192">
        <v>0</v>
      </c>
      <c r="I66" s="428"/>
      <c r="J66" s="192">
        <v>0</v>
      </c>
      <c r="K66" s="192">
        <v>0</v>
      </c>
      <c r="L66" s="428"/>
      <c r="M66" s="74"/>
      <c r="N66" s="75"/>
      <c r="O66" s="43"/>
      <c r="P66" s="563"/>
      <c r="Q66" s="563"/>
      <c r="R66" s="43"/>
      <c r="S66" s="575"/>
      <c r="T66" s="580"/>
      <c r="U66" s="572"/>
    </row>
    <row r="67" spans="1:21" s="191" customFormat="1" x14ac:dyDescent="0.3">
      <c r="A67" s="504">
        <v>4.03</v>
      </c>
      <c r="B67" s="565" t="s">
        <v>99</v>
      </c>
      <c r="C67" s="566"/>
      <c r="D67" s="567">
        <f>SUM(D65:D66)</f>
        <v>0</v>
      </c>
      <c r="E67" s="567">
        <f t="shared" ref="E67" si="41">SUM(E65:E66)</f>
        <v>1</v>
      </c>
      <c r="F67" s="567">
        <f t="shared" ref="F67" si="42">SUM(F65:F66)</f>
        <v>15</v>
      </c>
      <c r="G67" s="567">
        <f t="shared" ref="G67" si="43">SUM(G65:G66)</f>
        <v>16</v>
      </c>
      <c r="H67" s="567">
        <f t="shared" ref="H67" si="44">SUM(H65:H66)</f>
        <v>38</v>
      </c>
      <c r="I67" s="564"/>
      <c r="J67" s="567">
        <f t="shared" ref="J67" si="45">SUM(J65:J66)</f>
        <v>8</v>
      </c>
      <c r="K67" s="567">
        <f t="shared" ref="K67" si="46">SUM(K65:K66)</f>
        <v>0</v>
      </c>
      <c r="L67" s="564"/>
      <c r="M67" s="568">
        <f>(SUM(E67:G67)/3)</f>
        <v>10.666666666666666</v>
      </c>
      <c r="N67" s="569">
        <f>(SUM(D67:G67)/37)</f>
        <v>0.86486486486486491</v>
      </c>
      <c r="O67" s="564"/>
      <c r="P67" s="570">
        <f>N67*3</f>
        <v>2.5945945945945947</v>
      </c>
      <c r="Q67" s="570">
        <f>N67*5</f>
        <v>4.3243243243243246</v>
      </c>
      <c r="R67" s="564"/>
      <c r="S67" s="576">
        <f>Q67-(J67+K84)</f>
        <v>-3.6756756756756754</v>
      </c>
      <c r="T67" s="577">
        <v>0</v>
      </c>
      <c r="U67" s="573" t="s">
        <v>463</v>
      </c>
    </row>
    <row r="68" spans="1:21" s="9" customFormat="1" x14ac:dyDescent="0.3">
      <c r="A68" s="504"/>
      <c r="B68" s="59"/>
      <c r="C68" s="203"/>
      <c r="D68" s="18"/>
      <c r="E68" s="18"/>
      <c r="F68" s="18"/>
      <c r="G68" s="18"/>
      <c r="H68" s="18"/>
      <c r="I68" s="19"/>
      <c r="J68" s="18"/>
      <c r="K68" s="18"/>
      <c r="L68" s="19"/>
      <c r="M68" s="50"/>
      <c r="N68" s="49"/>
      <c r="O68" s="19"/>
      <c r="P68" s="195"/>
      <c r="Q68" s="195"/>
      <c r="R68" s="19"/>
      <c r="S68" s="51"/>
      <c r="T68" s="54"/>
      <c r="U68" s="54"/>
    </row>
    <row r="69" spans="1:21" s="191" customFormat="1" ht="43.2" x14ac:dyDescent="0.3">
      <c r="A69" s="504">
        <v>22.01</v>
      </c>
      <c r="B69" s="200" t="s">
        <v>309</v>
      </c>
      <c r="C69" s="203">
        <v>6017302</v>
      </c>
      <c r="D69" s="194">
        <v>21</v>
      </c>
      <c r="E69" s="194">
        <f>6+259</f>
        <v>265</v>
      </c>
      <c r="F69" s="194">
        <f>1+164</f>
        <v>165</v>
      </c>
      <c r="G69" s="194">
        <v>160</v>
      </c>
      <c r="H69" s="194">
        <v>289</v>
      </c>
      <c r="I69" s="193"/>
      <c r="J69" s="194">
        <v>47</v>
      </c>
      <c r="K69" s="194">
        <v>0</v>
      </c>
      <c r="L69" s="193"/>
      <c r="M69" s="195">
        <f>(SUM(E69:G69)/3)</f>
        <v>196.66666666666666</v>
      </c>
      <c r="N69" s="196">
        <f>(SUM(D69:G69)/37)</f>
        <v>16.513513513513512</v>
      </c>
      <c r="O69" s="193"/>
      <c r="P69" s="195">
        <f>N69*3</f>
        <v>49.540540540540533</v>
      </c>
      <c r="Q69" s="195">
        <f>N69*5</f>
        <v>82.567567567567565</v>
      </c>
      <c r="R69" s="193"/>
      <c r="S69" s="197">
        <f>Q69-(J69+K69)</f>
        <v>35.567567567567565</v>
      </c>
      <c r="T69" s="680">
        <v>40</v>
      </c>
      <c r="U69" s="198"/>
    </row>
    <row r="70" spans="1:21" s="9" customFormat="1" x14ac:dyDescent="0.3">
      <c r="A70" s="504"/>
      <c r="B70" s="59"/>
      <c r="C70" s="203"/>
      <c r="D70" s="18"/>
      <c r="E70" s="18"/>
      <c r="F70" s="18"/>
      <c r="G70" s="18"/>
      <c r="H70" s="18"/>
      <c r="I70" s="19"/>
      <c r="J70" s="18"/>
      <c r="K70" s="18"/>
      <c r="L70" s="19"/>
      <c r="M70" s="50"/>
      <c r="N70" s="49"/>
      <c r="O70" s="19"/>
      <c r="P70" s="195"/>
      <c r="Q70" s="195"/>
      <c r="R70" s="19"/>
      <c r="S70" s="51"/>
      <c r="T70" s="54"/>
      <c r="U70" s="54"/>
    </row>
    <row r="71" spans="1:21" s="191" customFormat="1" ht="28.8" x14ac:dyDescent="0.3">
      <c r="A71" s="504">
        <v>22.01</v>
      </c>
      <c r="B71" s="202" t="s">
        <v>477</v>
      </c>
      <c r="C71" s="203" t="s">
        <v>351</v>
      </c>
      <c r="D71" s="192">
        <v>4</v>
      </c>
      <c r="E71" s="192">
        <v>25</v>
      </c>
      <c r="F71" s="192">
        <v>21</v>
      </c>
      <c r="G71" s="192">
        <v>12</v>
      </c>
      <c r="H71" s="192">
        <v>13</v>
      </c>
      <c r="I71" s="19"/>
      <c r="J71" s="192">
        <v>-1</v>
      </c>
      <c r="K71" s="192">
        <v>5</v>
      </c>
      <c r="L71" s="19"/>
      <c r="M71" s="195">
        <f>(SUM(E71:G71)/3)</f>
        <v>19.333333333333332</v>
      </c>
      <c r="N71" s="196">
        <f>(SUM(D71:G71)/37)</f>
        <v>1.6756756756756757</v>
      </c>
      <c r="O71" s="19"/>
      <c r="P71" s="195">
        <f>N71*3</f>
        <v>5.0270270270270272</v>
      </c>
      <c r="Q71" s="195">
        <f>N71*5</f>
        <v>8.378378378378379</v>
      </c>
      <c r="R71" s="19"/>
      <c r="S71" s="197">
        <f>Q71-(J71+K71)</f>
        <v>4.378378378378379</v>
      </c>
      <c r="T71" s="680">
        <v>5</v>
      </c>
      <c r="U71" s="431"/>
    </row>
    <row r="72" spans="1:21" s="9" customFormat="1" x14ac:dyDescent="0.3">
      <c r="A72" s="504"/>
      <c r="B72" s="59"/>
      <c r="C72" s="203"/>
      <c r="D72" s="18"/>
      <c r="E72" s="18"/>
      <c r="F72" s="18"/>
      <c r="G72" s="18"/>
      <c r="H72" s="18"/>
      <c r="I72" s="19"/>
      <c r="J72" s="18"/>
      <c r="K72" s="18"/>
      <c r="L72" s="19"/>
      <c r="M72" s="50"/>
      <c r="N72" s="49"/>
      <c r="O72" s="19"/>
      <c r="P72" s="195"/>
      <c r="Q72" s="195"/>
      <c r="R72" s="19"/>
      <c r="S72" s="51"/>
      <c r="T72" s="54"/>
      <c r="U72" s="54"/>
    </row>
    <row r="73" spans="1:21" s="191" customFormat="1" ht="28.8" x14ac:dyDescent="0.3">
      <c r="A73" s="504">
        <v>22.01</v>
      </c>
      <c r="B73" s="202" t="s">
        <v>272</v>
      </c>
      <c r="C73" s="203">
        <v>6017102</v>
      </c>
      <c r="D73" s="194">
        <v>10</v>
      </c>
      <c r="E73" s="194">
        <v>231</v>
      </c>
      <c r="F73" s="194">
        <v>31</v>
      </c>
      <c r="G73" s="194">
        <v>26</v>
      </c>
      <c r="H73" s="194">
        <v>23</v>
      </c>
      <c r="I73" s="193"/>
      <c r="J73" s="194">
        <v>0</v>
      </c>
      <c r="K73" s="194">
        <v>0</v>
      </c>
      <c r="L73" s="193"/>
      <c r="M73" s="195">
        <f>(SUM(E73:G73)/3)</f>
        <v>96</v>
      </c>
      <c r="N73" s="196">
        <f>(SUM(D73:G73)/37)</f>
        <v>8.0540540540540544</v>
      </c>
      <c r="O73" s="193"/>
      <c r="P73" s="195">
        <f>N73*3</f>
        <v>24.162162162162161</v>
      </c>
      <c r="Q73" s="195">
        <f>N73*5</f>
        <v>40.270270270270274</v>
      </c>
      <c r="R73" s="193"/>
      <c r="S73" s="197">
        <f>Q73-(J73+K73)</f>
        <v>40.270270270270274</v>
      </c>
      <c r="T73" s="680">
        <v>20</v>
      </c>
      <c r="U73" s="431" t="s">
        <v>488</v>
      </c>
    </row>
    <row r="74" spans="1:21" s="9" customFormat="1" x14ac:dyDescent="0.3">
      <c r="A74" s="504"/>
      <c r="B74" s="59"/>
      <c r="C74" s="203"/>
      <c r="D74" s="18"/>
      <c r="E74" s="18"/>
      <c r="F74" s="18"/>
      <c r="G74" s="18"/>
      <c r="H74" s="18"/>
      <c r="I74" s="19"/>
      <c r="J74" s="18"/>
      <c r="K74" s="18"/>
      <c r="L74" s="19"/>
      <c r="M74" s="50"/>
      <c r="N74" s="49"/>
      <c r="O74" s="19"/>
      <c r="P74" s="195"/>
      <c r="Q74" s="195"/>
      <c r="R74" s="19"/>
      <c r="S74" s="51"/>
      <c r="T74" s="54"/>
      <c r="U74" s="54"/>
    </row>
    <row r="75" spans="1:21" s="9" customFormat="1" ht="14.4" customHeight="1" x14ac:dyDescent="0.3">
      <c r="A75" s="504"/>
      <c r="B75" s="59"/>
      <c r="C75" s="203"/>
      <c r="D75" s="18"/>
      <c r="E75" s="18"/>
      <c r="F75" s="18"/>
      <c r="G75" s="18"/>
      <c r="H75" s="18"/>
      <c r="I75" s="19"/>
      <c r="J75" s="18"/>
      <c r="K75" s="18"/>
      <c r="L75" s="19"/>
      <c r="M75" s="195"/>
      <c r="N75" s="196"/>
      <c r="O75" s="19"/>
      <c r="P75" s="195"/>
      <c r="Q75" s="195"/>
      <c r="R75" s="19"/>
      <c r="S75" s="51"/>
      <c r="T75" s="54"/>
      <c r="U75" s="54"/>
    </row>
    <row r="76" spans="1:21" s="9" customFormat="1" x14ac:dyDescent="0.3">
      <c r="A76" s="504"/>
      <c r="B76" s="59" t="s">
        <v>489</v>
      </c>
      <c r="C76" s="203">
        <v>6110110</v>
      </c>
      <c r="D76" s="18">
        <f>4+9</f>
        <v>13</v>
      </c>
      <c r="E76" s="18">
        <v>102</v>
      </c>
      <c r="F76" s="18">
        <v>117</v>
      </c>
      <c r="G76" s="18">
        <v>127</v>
      </c>
      <c r="H76" s="18">
        <v>244</v>
      </c>
      <c r="I76" s="19"/>
      <c r="J76" s="18">
        <v>5</v>
      </c>
      <c r="K76" s="18">
        <v>0</v>
      </c>
      <c r="L76" s="19"/>
      <c r="M76" s="195">
        <f>(SUM(E76:G76)/3)</f>
        <v>115.33333333333333</v>
      </c>
      <c r="N76" s="196">
        <f>(SUM(D76:G76)/37)</f>
        <v>9.7027027027027035</v>
      </c>
      <c r="O76" s="19"/>
      <c r="P76" s="195">
        <f t="shared" ref="P76" si="47">N76*3</f>
        <v>29.108108108108112</v>
      </c>
      <c r="Q76" s="195">
        <f t="shared" ref="Q76" si="48">N76*5</f>
        <v>48.513513513513516</v>
      </c>
      <c r="R76" s="19"/>
      <c r="S76" s="51">
        <f t="shared" ref="S76" si="49">Q76-(J76+K76)</f>
        <v>43.513513513513516</v>
      </c>
      <c r="T76" s="54"/>
      <c r="U76" s="54"/>
    </row>
    <row r="77" spans="1:21" s="9" customFormat="1" x14ac:dyDescent="0.3">
      <c r="A77" s="504"/>
      <c r="B77" s="329" t="s">
        <v>490</v>
      </c>
      <c r="C77" s="670">
        <v>6110110</v>
      </c>
      <c r="D77" s="186">
        <v>6</v>
      </c>
      <c r="E77" s="186">
        <v>0</v>
      </c>
      <c r="F77" s="186">
        <v>0</v>
      </c>
      <c r="G77" s="186">
        <v>0</v>
      </c>
      <c r="H77" s="186">
        <v>0</v>
      </c>
      <c r="I77" s="185"/>
      <c r="J77" s="186">
        <v>44</v>
      </c>
      <c r="K77" s="186">
        <v>0</v>
      </c>
      <c r="L77" s="185"/>
      <c r="M77" s="195">
        <f>(SUM(E77:G77)/3)</f>
        <v>0</v>
      </c>
      <c r="N77" s="196">
        <f>(SUM(D77:G77)/37)</f>
        <v>0.16216216216216217</v>
      </c>
      <c r="O77" s="19"/>
      <c r="P77" s="195">
        <f t="shared" ref="P77" si="50">N77*3</f>
        <v>0.48648648648648651</v>
      </c>
      <c r="Q77" s="195">
        <f t="shared" ref="Q77" si="51">N77*5</f>
        <v>0.81081081081081086</v>
      </c>
      <c r="R77" s="19"/>
      <c r="S77" s="51">
        <f t="shared" ref="S77" si="52">Q77-(J77+K77)</f>
        <v>-43.189189189189186</v>
      </c>
      <c r="T77" s="671"/>
      <c r="U77" s="671"/>
    </row>
    <row r="78" spans="1:21" s="191" customFormat="1" x14ac:dyDescent="0.3">
      <c r="A78" s="504">
        <v>28.01</v>
      </c>
      <c r="B78" s="565" t="s">
        <v>99</v>
      </c>
      <c r="C78" s="566"/>
      <c r="D78" s="567">
        <f>SUM(D76:D77)</f>
        <v>19</v>
      </c>
      <c r="E78" s="567">
        <f>SUM(E76:E77)</f>
        <v>102</v>
      </c>
      <c r="F78" s="567">
        <f>SUM(F76:F77)</f>
        <v>117</v>
      </c>
      <c r="G78" s="567">
        <f>SUM(G76:G77)</f>
        <v>127</v>
      </c>
      <c r="H78" s="567">
        <f>SUM(H76:H77)</f>
        <v>244</v>
      </c>
      <c r="I78" s="564"/>
      <c r="J78" s="567">
        <f>SUM(J76:J77)</f>
        <v>49</v>
      </c>
      <c r="K78" s="567">
        <f>SUM(K76:K77)</f>
        <v>0</v>
      </c>
      <c r="L78" s="564"/>
      <c r="M78" s="568">
        <f>(SUM(E78:G78)/3)</f>
        <v>115.33333333333333</v>
      </c>
      <c r="N78" s="569">
        <f>(SUM(D78:G78)/37)</f>
        <v>9.8648648648648649</v>
      </c>
      <c r="O78" s="564"/>
      <c r="P78" s="570">
        <f>N78*3</f>
        <v>29.594594594594597</v>
      </c>
      <c r="Q78" s="570">
        <f>N78*5</f>
        <v>49.324324324324323</v>
      </c>
      <c r="R78" s="564"/>
      <c r="S78" s="576">
        <f>Q78-(J78+K78)</f>
        <v>0.32432432432432279</v>
      </c>
      <c r="T78" s="577">
        <v>0</v>
      </c>
      <c r="U78" s="573" t="s">
        <v>463</v>
      </c>
    </row>
    <row r="79" spans="1:21" s="9" customFormat="1" x14ac:dyDescent="0.3">
      <c r="A79" s="504"/>
      <c r="B79" s="59"/>
      <c r="C79" s="203"/>
      <c r="D79" s="18"/>
      <c r="E79" s="18"/>
      <c r="F79" s="18"/>
      <c r="G79" s="18"/>
      <c r="H79" s="18"/>
      <c r="I79" s="19"/>
      <c r="J79" s="18"/>
      <c r="K79" s="18"/>
      <c r="L79" s="19"/>
      <c r="M79" s="50"/>
      <c r="N79" s="49"/>
      <c r="O79" s="19"/>
      <c r="P79" s="195"/>
      <c r="Q79" s="195"/>
      <c r="R79" s="19"/>
      <c r="S79" s="51"/>
      <c r="T79" s="54"/>
      <c r="U79" s="54"/>
    </row>
    <row r="80" spans="1:21" s="191" customFormat="1" x14ac:dyDescent="0.3">
      <c r="A80" s="504">
        <v>28.01</v>
      </c>
      <c r="B80" s="202" t="s">
        <v>491</v>
      </c>
      <c r="C80" s="203">
        <v>6017220</v>
      </c>
      <c r="D80" s="194">
        <v>4</v>
      </c>
      <c r="E80" s="194">
        <v>48</v>
      </c>
      <c r="F80" s="194">
        <v>6</v>
      </c>
      <c r="G80" s="194">
        <v>1</v>
      </c>
      <c r="H80" s="194">
        <v>12</v>
      </c>
      <c r="I80" s="193"/>
      <c r="J80" s="194">
        <v>37</v>
      </c>
      <c r="K80" s="194">
        <v>0</v>
      </c>
      <c r="L80" s="193"/>
      <c r="M80" s="195">
        <f>(SUM(E80:G80)/3)</f>
        <v>18.333333333333332</v>
      </c>
      <c r="N80" s="196">
        <f>(SUM(D80:G80)/37)</f>
        <v>1.5945945945945945</v>
      </c>
      <c r="O80" s="193"/>
      <c r="P80" s="195">
        <f>N80*3</f>
        <v>4.7837837837837833</v>
      </c>
      <c r="Q80" s="195">
        <f>N80*5</f>
        <v>7.9729729729729728</v>
      </c>
      <c r="R80" s="193"/>
      <c r="S80" s="197">
        <f>Q80-(J80+K80)</f>
        <v>-29.027027027027028</v>
      </c>
      <c r="T80" s="680">
        <v>0</v>
      </c>
      <c r="U80" s="198" t="s">
        <v>498</v>
      </c>
    </row>
    <row r="81" spans="1:21" s="9" customFormat="1" x14ac:dyDescent="0.3">
      <c r="A81" s="504"/>
      <c r="B81" s="59"/>
      <c r="C81" s="203"/>
      <c r="D81" s="18"/>
      <c r="E81" s="18"/>
      <c r="F81" s="18"/>
      <c r="G81" s="18"/>
      <c r="H81" s="18"/>
      <c r="I81" s="19"/>
      <c r="J81" s="18"/>
      <c r="K81" s="18"/>
      <c r="L81" s="19"/>
      <c r="M81" s="50"/>
      <c r="N81" s="49"/>
      <c r="O81" s="19"/>
      <c r="P81" s="195"/>
      <c r="Q81" s="195"/>
      <c r="R81" s="19"/>
      <c r="S81" s="51"/>
      <c r="T81" s="54"/>
      <c r="U81" s="54"/>
    </row>
    <row r="82" spans="1:21" s="191" customFormat="1" ht="28.8" x14ac:dyDescent="0.3">
      <c r="A82" s="504">
        <v>28.01</v>
      </c>
      <c r="B82" s="202" t="s">
        <v>492</v>
      </c>
      <c r="C82" s="203">
        <v>5118140</v>
      </c>
      <c r="D82" s="194">
        <f>2+2</f>
        <v>4</v>
      </c>
      <c r="E82" s="194">
        <f>5+18</f>
        <v>23</v>
      </c>
      <c r="F82" s="194">
        <v>108</v>
      </c>
      <c r="G82" s="194">
        <v>110</v>
      </c>
      <c r="H82" s="194">
        <v>118</v>
      </c>
      <c r="I82" s="193"/>
      <c r="J82" s="194">
        <v>10</v>
      </c>
      <c r="K82" s="194">
        <v>0</v>
      </c>
      <c r="L82" s="193"/>
      <c r="M82" s="195">
        <f>(SUM(E82:G82)/3)</f>
        <v>80.333333333333329</v>
      </c>
      <c r="N82" s="196">
        <f>(SUM(D82:G82)/37)</f>
        <v>6.6216216216216219</v>
      </c>
      <c r="O82" s="363"/>
      <c r="P82" s="196">
        <f>N82*3</f>
        <v>19.864864864864867</v>
      </c>
      <c r="Q82" s="196">
        <f>N82*5</f>
        <v>33.108108108108112</v>
      </c>
      <c r="R82" s="363"/>
      <c r="S82" s="364">
        <f>Q82-(J82+K82)</f>
        <v>23.108108108108112</v>
      </c>
      <c r="T82" s="680">
        <v>24</v>
      </c>
      <c r="U82" s="431" t="s">
        <v>362</v>
      </c>
    </row>
    <row r="83" spans="1:21" s="9" customFormat="1" ht="14.4" customHeight="1" x14ac:dyDescent="0.3">
      <c r="A83" s="504"/>
      <c r="B83" s="59"/>
      <c r="C83" s="203"/>
      <c r="D83" s="18"/>
      <c r="E83" s="18"/>
      <c r="F83" s="18"/>
      <c r="G83" s="18"/>
      <c r="H83" s="18"/>
      <c r="I83" s="19"/>
      <c r="J83" s="18"/>
      <c r="K83" s="18"/>
      <c r="L83" s="19"/>
      <c r="M83" s="50"/>
      <c r="N83" s="49"/>
      <c r="O83" s="19"/>
      <c r="P83" s="195"/>
      <c r="Q83" s="195"/>
      <c r="R83" s="19"/>
      <c r="S83" s="51"/>
      <c r="T83" s="54"/>
      <c r="U83" s="54"/>
    </row>
    <row r="84" spans="1:21" s="191" customFormat="1" ht="28.8" x14ac:dyDescent="0.3">
      <c r="A84" s="504">
        <v>4.0199999999999996</v>
      </c>
      <c r="B84" s="202" t="s">
        <v>146</v>
      </c>
      <c r="C84" s="203">
        <v>6110111</v>
      </c>
      <c r="D84" s="194">
        <f>5+2</f>
        <v>7</v>
      </c>
      <c r="E84" s="194">
        <v>25</v>
      </c>
      <c r="F84" s="194">
        <v>11</v>
      </c>
      <c r="G84" s="194">
        <v>35</v>
      </c>
      <c r="H84" s="194">
        <v>49</v>
      </c>
      <c r="I84" s="193"/>
      <c r="J84" s="194">
        <v>5</v>
      </c>
      <c r="K84" s="194">
        <v>0</v>
      </c>
      <c r="L84" s="193"/>
      <c r="M84" s="195">
        <f>(SUM(E84:G84)/3)</f>
        <v>23.666666666666668</v>
      </c>
      <c r="N84" s="196">
        <f>(SUM(D84:G84)/37)</f>
        <v>2.1081081081081079</v>
      </c>
      <c r="O84" s="193"/>
      <c r="P84" s="195">
        <f>N84*3</f>
        <v>6.3243243243243237</v>
      </c>
      <c r="Q84" s="195">
        <f t="shared" ref="Q84" si="53">N84*5</f>
        <v>10.54054054054054</v>
      </c>
      <c r="R84" s="193"/>
      <c r="S84" s="197">
        <f t="shared" ref="S84" si="54">Q84-(J84+K84)</f>
        <v>5.5405405405405403</v>
      </c>
      <c r="T84" s="680">
        <v>0</v>
      </c>
      <c r="U84" s="431" t="s">
        <v>504</v>
      </c>
    </row>
    <row r="85" spans="1:21" s="9" customFormat="1" ht="14.4" customHeight="1" x14ac:dyDescent="0.3">
      <c r="A85" s="504"/>
      <c r="B85" s="59"/>
      <c r="C85" s="203"/>
      <c r="D85" s="18"/>
      <c r="E85" s="18"/>
      <c r="F85" s="18"/>
      <c r="G85" s="18"/>
      <c r="H85" s="18"/>
      <c r="I85" s="19"/>
      <c r="J85" s="18"/>
      <c r="K85" s="18"/>
      <c r="L85" s="19"/>
      <c r="M85" s="50"/>
      <c r="N85" s="49"/>
      <c r="O85" s="19"/>
      <c r="P85" s="195"/>
      <c r="Q85" s="195"/>
      <c r="R85" s="19"/>
      <c r="S85" s="51"/>
      <c r="T85" s="54"/>
      <c r="U85" s="54"/>
    </row>
    <row r="86" spans="1:21" s="191" customFormat="1" x14ac:dyDescent="0.3">
      <c r="A86" s="504">
        <v>4.0199999999999996</v>
      </c>
      <c r="B86" s="213" t="s">
        <v>502</v>
      </c>
      <c r="C86" s="203">
        <v>5118201</v>
      </c>
      <c r="D86" s="194">
        <v>10</v>
      </c>
      <c r="E86" s="194">
        <f>2+14</f>
        <v>16</v>
      </c>
      <c r="F86" s="194">
        <v>17</v>
      </c>
      <c r="G86" s="194">
        <v>40</v>
      </c>
      <c r="H86" s="194">
        <v>66</v>
      </c>
      <c r="I86" s="193"/>
      <c r="J86" s="194">
        <v>0</v>
      </c>
      <c r="K86" s="194">
        <v>0</v>
      </c>
      <c r="L86" s="193"/>
      <c r="M86" s="195">
        <f>(SUM(E86:G86)/3)</f>
        <v>24.333333333333332</v>
      </c>
      <c r="N86" s="196">
        <f>(SUM(D86:G86)/37)</f>
        <v>2.2432432432432434</v>
      </c>
      <c r="O86" s="193"/>
      <c r="P86" s="195">
        <f>N86*3</f>
        <v>6.7297297297297298</v>
      </c>
      <c r="Q86" s="195">
        <f>N86*5</f>
        <v>11.216216216216218</v>
      </c>
      <c r="R86" s="193"/>
      <c r="S86" s="197">
        <f>Q86-(J86+K86)</f>
        <v>11.216216216216218</v>
      </c>
      <c r="T86" s="681">
        <v>11</v>
      </c>
      <c r="U86" s="198" t="s">
        <v>237</v>
      </c>
    </row>
    <row r="87" spans="1:21" s="9" customFormat="1" x14ac:dyDescent="0.3">
      <c r="A87" s="504"/>
      <c r="B87" s="59"/>
      <c r="C87" s="203"/>
      <c r="D87" s="18"/>
      <c r="E87" s="18"/>
      <c r="F87" s="18"/>
      <c r="G87" s="18"/>
      <c r="H87" s="18"/>
      <c r="I87" s="19"/>
      <c r="J87" s="18"/>
      <c r="K87" s="18"/>
      <c r="L87" s="19"/>
      <c r="M87" s="50"/>
      <c r="N87" s="49"/>
      <c r="O87" s="19"/>
      <c r="P87" s="195"/>
      <c r="Q87" s="195"/>
      <c r="R87" s="19"/>
      <c r="S87" s="51"/>
      <c r="T87" s="54"/>
      <c r="U87" s="54"/>
    </row>
    <row r="88" spans="1:21" s="191" customFormat="1" ht="28.8" x14ac:dyDescent="0.3">
      <c r="A88" s="504">
        <v>4.0199999999999996</v>
      </c>
      <c r="B88" s="202" t="s">
        <v>472</v>
      </c>
      <c r="C88" s="203">
        <v>6012340</v>
      </c>
      <c r="D88" s="194">
        <f>3+11</f>
        <v>14</v>
      </c>
      <c r="E88" s="194">
        <v>35</v>
      </c>
      <c r="F88" s="194">
        <v>36</v>
      </c>
      <c r="G88" s="194">
        <v>56</v>
      </c>
      <c r="H88" s="194">
        <v>24</v>
      </c>
      <c r="I88" s="193"/>
      <c r="J88" s="194">
        <v>-1</v>
      </c>
      <c r="K88" s="194">
        <v>10</v>
      </c>
      <c r="L88" s="193"/>
      <c r="M88" s="195">
        <f>(SUM(E88:G88)/3)</f>
        <v>42.333333333333336</v>
      </c>
      <c r="N88" s="196">
        <f>(SUM(D88:G88)/37)</f>
        <v>3.810810810810811</v>
      </c>
      <c r="O88" s="193"/>
      <c r="P88" s="195">
        <f>N88*3</f>
        <v>11.432432432432433</v>
      </c>
      <c r="Q88" s="195">
        <f>N88*5</f>
        <v>19.054054054054056</v>
      </c>
      <c r="R88" s="193"/>
      <c r="S88" s="197">
        <f>Q88-(J88+K88)</f>
        <v>10.054054054054056</v>
      </c>
      <c r="T88" s="680">
        <v>10</v>
      </c>
      <c r="U88" s="431" t="s">
        <v>501</v>
      </c>
    </row>
    <row r="89" spans="1:21" s="9" customFormat="1" x14ac:dyDescent="0.3">
      <c r="A89" s="504"/>
      <c r="B89" s="59"/>
      <c r="C89" s="203"/>
      <c r="D89" s="18"/>
      <c r="E89" s="18"/>
      <c r="F89" s="18"/>
      <c r="G89" s="18"/>
      <c r="H89" s="18"/>
      <c r="I89" s="19"/>
      <c r="J89" s="18"/>
      <c r="K89" s="18"/>
      <c r="L89" s="19"/>
      <c r="M89" s="50"/>
      <c r="N89" s="49"/>
      <c r="O89" s="19"/>
      <c r="P89" s="195"/>
      <c r="Q89" s="195"/>
      <c r="R89" s="19"/>
      <c r="S89" s="51"/>
      <c r="T89" s="54"/>
      <c r="U89" s="54"/>
    </row>
    <row r="90" spans="1:21" s="9" customFormat="1" ht="14.4" customHeight="1" x14ac:dyDescent="0.3">
      <c r="A90" s="504">
        <v>11.02</v>
      </c>
      <c r="B90" s="59" t="s">
        <v>505</v>
      </c>
      <c r="C90" s="203">
        <v>5118160</v>
      </c>
      <c r="D90" s="18">
        <f>5+4+90</f>
        <v>99</v>
      </c>
      <c r="E90" s="18">
        <v>471</v>
      </c>
      <c r="F90" s="18">
        <v>391</v>
      </c>
      <c r="G90" s="18">
        <v>886</v>
      </c>
      <c r="H90" s="18">
        <v>948</v>
      </c>
      <c r="I90" s="19"/>
      <c r="J90" s="18">
        <v>105</v>
      </c>
      <c r="K90" s="18">
        <v>0</v>
      </c>
      <c r="L90" s="19"/>
      <c r="M90" s="195">
        <f>(SUM(E90:G90)/3)</f>
        <v>582.66666666666663</v>
      </c>
      <c r="N90" s="196">
        <f>(SUM(D90:G90)/37.5)</f>
        <v>49.25333333333333</v>
      </c>
      <c r="O90" s="19"/>
      <c r="P90" s="195">
        <f>N90*3</f>
        <v>147.76</v>
      </c>
      <c r="Q90" s="195">
        <f>N90*5</f>
        <v>246.26666666666665</v>
      </c>
      <c r="R90" s="19"/>
      <c r="S90" s="51">
        <f>Q90-(J90+K90)</f>
        <v>141.26666666666665</v>
      </c>
      <c r="T90" s="212">
        <v>120</v>
      </c>
      <c r="U90" s="54" t="s">
        <v>508</v>
      </c>
    </row>
    <row r="91" spans="1:21" s="9" customFormat="1" ht="14.4" customHeight="1" x14ac:dyDescent="0.3">
      <c r="A91" s="504"/>
      <c r="B91" s="59"/>
      <c r="C91" s="203"/>
      <c r="D91" s="18"/>
      <c r="E91" s="18"/>
      <c r="F91" s="18"/>
      <c r="G91" s="18"/>
      <c r="H91" s="18"/>
      <c r="I91" s="19"/>
      <c r="J91" s="18"/>
      <c r="K91" s="18"/>
      <c r="L91" s="19"/>
      <c r="M91" s="50"/>
      <c r="N91" s="49"/>
      <c r="O91" s="19"/>
      <c r="P91" s="195"/>
      <c r="Q91" s="195"/>
      <c r="R91" s="19"/>
      <c r="S91" s="51"/>
      <c r="T91" s="54"/>
      <c r="U91" s="54"/>
    </row>
    <row r="92" spans="1:21" s="9" customFormat="1" ht="14.4" customHeight="1" x14ac:dyDescent="0.3">
      <c r="A92" s="504">
        <v>19.02</v>
      </c>
      <c r="B92" s="59" t="s">
        <v>58</v>
      </c>
      <c r="C92" s="203">
        <v>6110145</v>
      </c>
      <c r="D92" s="18">
        <f>1+6</f>
        <v>7</v>
      </c>
      <c r="E92" s="18">
        <v>67</v>
      </c>
      <c r="F92" s="18">
        <v>55</v>
      </c>
      <c r="G92" s="18">
        <v>47</v>
      </c>
      <c r="H92" s="18">
        <v>90</v>
      </c>
      <c r="I92" s="19"/>
      <c r="J92" s="18">
        <v>14</v>
      </c>
      <c r="K92" s="18">
        <v>0</v>
      </c>
      <c r="L92" s="19"/>
      <c r="M92" s="195">
        <f>(SUM(E92:G92)/3)</f>
        <v>56.333333333333336</v>
      </c>
      <c r="N92" s="196">
        <f>(SUM(D92:G92)/37.5)</f>
        <v>4.6933333333333334</v>
      </c>
      <c r="O92" s="19"/>
      <c r="P92" s="195">
        <f>N92*3</f>
        <v>14.08</v>
      </c>
      <c r="Q92" s="195">
        <f>N92*5</f>
        <v>23.466666666666669</v>
      </c>
      <c r="R92" s="19"/>
      <c r="S92" s="51">
        <f>Q92-(J92+K92)</f>
        <v>9.4666666666666686</v>
      </c>
      <c r="T92" s="212">
        <v>9</v>
      </c>
      <c r="U92" s="54"/>
    </row>
    <row r="93" spans="1:21" s="9" customFormat="1" ht="14.4" customHeight="1" x14ac:dyDescent="0.3">
      <c r="A93" s="504"/>
      <c r="B93" s="59"/>
      <c r="C93" s="203"/>
      <c r="D93" s="18"/>
      <c r="E93" s="18"/>
      <c r="F93" s="18"/>
      <c r="G93" s="18"/>
      <c r="H93" s="18"/>
      <c r="I93" s="19"/>
      <c r="J93" s="18"/>
      <c r="K93" s="18"/>
      <c r="L93" s="19"/>
      <c r="M93" s="50"/>
      <c r="N93" s="49"/>
      <c r="O93" s="19"/>
      <c r="P93" s="195"/>
      <c r="Q93" s="195"/>
      <c r="R93" s="19"/>
      <c r="S93" s="51"/>
      <c r="T93" s="54"/>
      <c r="U93" s="54"/>
    </row>
    <row r="94" spans="1:21" s="9" customFormat="1" ht="14.4" customHeight="1" x14ac:dyDescent="0.3">
      <c r="A94" s="504"/>
      <c r="B94" s="59"/>
      <c r="C94" s="203"/>
      <c r="D94" s="18"/>
      <c r="E94" s="18"/>
      <c r="F94" s="18"/>
      <c r="G94" s="18"/>
      <c r="H94" s="18"/>
      <c r="I94" s="19"/>
      <c r="J94" s="18"/>
      <c r="K94" s="18"/>
      <c r="L94" s="19"/>
      <c r="M94" s="50"/>
      <c r="N94" s="49"/>
      <c r="O94" s="19"/>
      <c r="P94" s="195"/>
      <c r="Q94" s="195"/>
      <c r="R94" s="19"/>
      <c r="S94" s="51"/>
      <c r="T94" s="54"/>
      <c r="U94" s="54"/>
    </row>
    <row r="95" spans="1:21" s="191" customFormat="1" x14ac:dyDescent="0.3">
      <c r="A95" s="504"/>
      <c r="B95" s="692" t="s">
        <v>453</v>
      </c>
      <c r="C95" s="693">
        <v>6111120</v>
      </c>
      <c r="D95" s="375">
        <v>6</v>
      </c>
      <c r="E95" s="375">
        <v>23</v>
      </c>
      <c r="F95" s="375">
        <v>32</v>
      </c>
      <c r="G95" s="375">
        <v>70</v>
      </c>
      <c r="H95" s="375">
        <v>58</v>
      </c>
      <c r="I95" s="375"/>
      <c r="J95" s="375">
        <v>0</v>
      </c>
      <c r="K95" s="375">
        <v>0</v>
      </c>
      <c r="L95" s="375"/>
      <c r="M95" s="666"/>
      <c r="N95" s="667"/>
      <c r="O95" s="7"/>
      <c r="P95" s="694"/>
      <c r="Q95" s="694"/>
      <c r="R95" s="7"/>
      <c r="S95" s="695"/>
      <c r="T95" s="696"/>
      <c r="U95" s="697" t="s">
        <v>416</v>
      </c>
    </row>
    <row r="96" spans="1:21" s="191" customFormat="1" x14ac:dyDescent="0.3">
      <c r="A96" s="504"/>
      <c r="B96" s="562" t="s">
        <v>529</v>
      </c>
      <c r="C96" s="101">
        <v>6111120</v>
      </c>
      <c r="D96" s="192">
        <f>8</f>
        <v>8</v>
      </c>
      <c r="E96" s="192">
        <v>0</v>
      </c>
      <c r="F96" s="192">
        <v>0</v>
      </c>
      <c r="G96" s="192">
        <v>0</v>
      </c>
      <c r="H96" s="192">
        <v>0</v>
      </c>
      <c r="I96" s="428"/>
      <c r="J96" s="192">
        <v>-8</v>
      </c>
      <c r="K96" s="192">
        <v>12</v>
      </c>
      <c r="L96" s="428"/>
      <c r="M96" s="74"/>
      <c r="N96" s="75"/>
      <c r="O96" s="43"/>
      <c r="P96" s="563"/>
      <c r="Q96" s="563"/>
      <c r="R96" s="43"/>
      <c r="S96" s="575"/>
      <c r="T96" s="580"/>
      <c r="U96" s="572"/>
    </row>
    <row r="97" spans="1:21" s="191" customFormat="1" x14ac:dyDescent="0.3">
      <c r="A97" s="504">
        <v>4.03</v>
      </c>
      <c r="B97" s="565" t="s">
        <v>99</v>
      </c>
      <c r="C97" s="566"/>
      <c r="D97" s="567">
        <f>SUM(D95:D96)</f>
        <v>14</v>
      </c>
      <c r="E97" s="567">
        <f t="shared" ref="E97" si="55">SUM(E95:E96)</f>
        <v>23</v>
      </c>
      <c r="F97" s="567">
        <f t="shared" ref="F97" si="56">SUM(F95:F96)</f>
        <v>32</v>
      </c>
      <c r="G97" s="567">
        <f t="shared" ref="G97" si="57">SUM(G95:G96)</f>
        <v>70</v>
      </c>
      <c r="H97" s="567">
        <f t="shared" ref="H97" si="58">SUM(H95:H96)</f>
        <v>58</v>
      </c>
      <c r="I97" s="564"/>
      <c r="J97" s="567">
        <f>J96+J95</f>
        <v>-8</v>
      </c>
      <c r="K97" s="567">
        <f t="shared" ref="K97" si="59">SUM(K95:K96)</f>
        <v>12</v>
      </c>
      <c r="L97" s="564"/>
      <c r="M97" s="568">
        <f>(SUM(E97:G97)/3)</f>
        <v>41.666666666666664</v>
      </c>
      <c r="N97" s="569">
        <f>(SUM(D97:G97)/38)</f>
        <v>3.6578947368421053</v>
      </c>
      <c r="O97" s="564"/>
      <c r="P97" s="570">
        <f>N97*3</f>
        <v>10.973684210526315</v>
      </c>
      <c r="Q97" s="570">
        <f>N97*5</f>
        <v>18.289473684210527</v>
      </c>
      <c r="R97" s="564"/>
      <c r="S97" s="576">
        <f>Q97-(J97+K97)</f>
        <v>14.289473684210527</v>
      </c>
      <c r="T97" s="708">
        <v>6</v>
      </c>
      <c r="U97" s="573" t="s">
        <v>460</v>
      </c>
    </row>
    <row r="98" spans="1:21" s="9" customFormat="1" ht="14.4" customHeight="1" x14ac:dyDescent="0.3">
      <c r="A98" s="504"/>
      <c r="B98" s="59"/>
      <c r="C98" s="203"/>
      <c r="D98" s="18"/>
      <c r="E98" s="18"/>
      <c r="F98" s="18"/>
      <c r="G98" s="18"/>
      <c r="H98" s="18"/>
      <c r="I98" s="19"/>
      <c r="J98" s="18"/>
      <c r="K98" s="18"/>
      <c r="L98" s="19"/>
      <c r="M98" s="50"/>
      <c r="N98" s="49"/>
      <c r="O98" s="19"/>
      <c r="P98" s="195"/>
      <c r="Q98" s="195"/>
      <c r="R98" s="19"/>
      <c r="S98" s="51"/>
      <c r="T98" s="54"/>
      <c r="U98" s="54"/>
    </row>
    <row r="99" spans="1:21" s="191" customFormat="1" ht="28.8" x14ac:dyDescent="0.3">
      <c r="A99" s="504">
        <v>14.01</v>
      </c>
      <c r="B99" s="213" t="s">
        <v>479</v>
      </c>
      <c r="C99" s="203" t="s">
        <v>467</v>
      </c>
      <c r="D99" s="194">
        <f>11+8</f>
        <v>19</v>
      </c>
      <c r="E99" s="194">
        <f>65+12</f>
        <v>77</v>
      </c>
      <c r="F99" s="194">
        <f>5+44</f>
        <v>49</v>
      </c>
      <c r="G99" s="194">
        <v>12</v>
      </c>
      <c r="H99" s="194">
        <v>73</v>
      </c>
      <c r="I99" s="193"/>
      <c r="J99" s="194">
        <v>-7</v>
      </c>
      <c r="K99" s="194">
        <v>15</v>
      </c>
      <c r="L99" s="193"/>
      <c r="M99" s="195">
        <f>(SUM(E99:G99)/3)</f>
        <v>46</v>
      </c>
      <c r="N99" s="196">
        <f>((SUM(D99:G99))/38)</f>
        <v>4.1315789473684212</v>
      </c>
      <c r="O99" s="193"/>
      <c r="P99" s="195">
        <f>N99*3</f>
        <v>12.394736842105264</v>
      </c>
      <c r="Q99" s="195">
        <f>N99*5</f>
        <v>20.657894736842106</v>
      </c>
      <c r="R99" s="193"/>
      <c r="S99" s="197">
        <f>Q99-(J99+K99)</f>
        <v>12.657894736842106</v>
      </c>
      <c r="T99" s="680">
        <v>15</v>
      </c>
      <c r="U99" s="198"/>
    </row>
    <row r="100" spans="1:21" s="9" customFormat="1" ht="14.4" customHeight="1" x14ac:dyDescent="0.3">
      <c r="A100" s="504"/>
      <c r="B100" s="59"/>
      <c r="C100" s="203"/>
      <c r="D100" s="18"/>
      <c r="E100" s="18"/>
      <c r="F100" s="18"/>
      <c r="G100" s="18"/>
      <c r="H100" s="18"/>
      <c r="I100" s="19"/>
      <c r="J100" s="18"/>
      <c r="K100" s="18"/>
      <c r="L100" s="19"/>
      <c r="M100" s="50"/>
      <c r="N100" s="49"/>
      <c r="O100" s="19"/>
      <c r="P100" s="195"/>
      <c r="Q100" s="195"/>
      <c r="R100" s="19"/>
      <c r="S100" s="51"/>
      <c r="T100" s="54"/>
      <c r="U100" s="54"/>
    </row>
    <row r="101" spans="1:21" s="9" customFormat="1" x14ac:dyDescent="0.3">
      <c r="A101" s="504">
        <v>5.1100000000000003</v>
      </c>
      <c r="B101" s="59" t="s">
        <v>259</v>
      </c>
      <c r="C101" s="203">
        <v>5118200</v>
      </c>
      <c r="D101" s="18">
        <f>10+10</f>
        <v>20</v>
      </c>
      <c r="E101" s="18">
        <v>105</v>
      </c>
      <c r="F101" s="18">
        <v>102</v>
      </c>
      <c r="G101" s="18">
        <v>124</v>
      </c>
      <c r="H101" s="18">
        <v>124</v>
      </c>
      <c r="I101" s="19"/>
      <c r="J101" s="18">
        <v>26</v>
      </c>
      <c r="K101" s="18">
        <v>0</v>
      </c>
      <c r="L101" s="19"/>
      <c r="M101" s="50">
        <f>(SUM(E101:G101)/3)</f>
        <v>110.33333333333333</v>
      </c>
      <c r="N101" s="49">
        <f>(SUM(D101:G101)/38)</f>
        <v>9.2368421052631575</v>
      </c>
      <c r="O101" s="19"/>
      <c r="P101" s="195">
        <f>N101*3</f>
        <v>27.710526315789473</v>
      </c>
      <c r="Q101" s="195">
        <f>N101*5</f>
        <v>46.184210526315788</v>
      </c>
      <c r="R101" s="19"/>
      <c r="S101" s="51">
        <f>Q101-(J101+K101)</f>
        <v>20.184210526315788</v>
      </c>
      <c r="T101" s="709">
        <v>25</v>
      </c>
      <c r="U101" s="54" t="s">
        <v>408</v>
      </c>
    </row>
    <row r="102" spans="1:21" s="9" customFormat="1" x14ac:dyDescent="0.3">
      <c r="A102" s="504"/>
      <c r="B102" s="59"/>
      <c r="C102" s="203"/>
      <c r="D102" s="18"/>
      <c r="E102" s="18"/>
      <c r="F102" s="18"/>
      <c r="G102" s="18"/>
      <c r="H102" s="18"/>
      <c r="I102" s="19"/>
      <c r="J102" s="18"/>
      <c r="K102" s="18"/>
      <c r="L102" s="19"/>
      <c r="M102" s="50"/>
      <c r="N102" s="49"/>
      <c r="O102" s="19"/>
      <c r="P102" s="195"/>
      <c r="Q102" s="195"/>
      <c r="R102" s="19"/>
      <c r="S102" s="51"/>
      <c r="T102" s="54"/>
      <c r="U102" s="54"/>
    </row>
    <row r="103" spans="1:21" s="9" customFormat="1" x14ac:dyDescent="0.3">
      <c r="A103" s="504">
        <v>14.01</v>
      </c>
      <c r="B103" s="59" t="s">
        <v>471</v>
      </c>
      <c r="C103" s="203">
        <v>6010130</v>
      </c>
      <c r="D103" s="18">
        <f>14+19</f>
        <v>33</v>
      </c>
      <c r="E103" s="18">
        <v>105</v>
      </c>
      <c r="F103" s="18">
        <v>83</v>
      </c>
      <c r="G103" s="18">
        <v>31</v>
      </c>
      <c r="H103" s="18">
        <v>88</v>
      </c>
      <c r="I103" s="19"/>
      <c r="J103" s="18">
        <v>18</v>
      </c>
      <c r="K103" s="18">
        <v>0</v>
      </c>
      <c r="L103" s="19"/>
      <c r="M103" s="195">
        <f>(SUM(E103:G103)/3)</f>
        <v>73</v>
      </c>
      <c r="N103" s="196">
        <f>(SUM(D103:G103)/38)</f>
        <v>6.6315789473684212</v>
      </c>
      <c r="O103" s="19"/>
      <c r="P103" s="195">
        <f>N103*3</f>
        <v>19.894736842105264</v>
      </c>
      <c r="Q103" s="195">
        <f>N103*5</f>
        <v>33.15789473684211</v>
      </c>
      <c r="R103" s="19"/>
      <c r="S103" s="51">
        <f>Q103-(J103+K103)</f>
        <v>15.15789473684211</v>
      </c>
      <c r="T103" s="709">
        <v>15</v>
      </c>
      <c r="U103" s="54"/>
    </row>
    <row r="104" spans="1:21" s="9" customFormat="1" ht="14.4" customHeight="1" x14ac:dyDescent="0.3">
      <c r="A104" s="504"/>
      <c r="B104" s="59"/>
      <c r="C104" s="203"/>
      <c r="D104" s="18"/>
      <c r="E104" s="18"/>
      <c r="F104" s="18"/>
      <c r="G104" s="18"/>
      <c r="H104" s="18"/>
      <c r="I104" s="19"/>
      <c r="J104" s="18"/>
      <c r="K104" s="18"/>
      <c r="L104" s="19"/>
      <c r="M104" s="50"/>
      <c r="N104" s="49"/>
      <c r="O104" s="19"/>
      <c r="P104" s="195"/>
      <c r="Q104" s="195"/>
      <c r="R104" s="19"/>
      <c r="S104" s="51"/>
      <c r="T104" s="54"/>
      <c r="U104" s="54"/>
    </row>
    <row r="105" spans="1:21" s="191" customFormat="1" x14ac:dyDescent="0.3">
      <c r="A105" s="504">
        <v>5.03</v>
      </c>
      <c r="B105" s="202" t="s">
        <v>470</v>
      </c>
      <c r="C105" s="203" t="s">
        <v>136</v>
      </c>
      <c r="D105" s="194">
        <f>24+50</f>
        <v>74</v>
      </c>
      <c r="E105" s="194">
        <v>985</v>
      </c>
      <c r="F105" s="194">
        <v>805</v>
      </c>
      <c r="G105" s="194">
        <v>1276</v>
      </c>
      <c r="H105" s="194">
        <v>1483</v>
      </c>
      <c r="I105" s="19"/>
      <c r="J105" s="194">
        <v>189</v>
      </c>
      <c r="K105" s="194">
        <v>0</v>
      </c>
      <c r="L105" s="19"/>
      <c r="M105" s="195">
        <f>(SUM(E105:G105)/3)</f>
        <v>1022</v>
      </c>
      <c r="N105" s="196">
        <f>(SUM(D105:G105)/38)</f>
        <v>82.631578947368425</v>
      </c>
      <c r="O105" s="19"/>
      <c r="P105" s="195">
        <f>N105*3</f>
        <v>247.89473684210526</v>
      </c>
      <c r="Q105" s="195">
        <f>N105*5</f>
        <v>413.15789473684214</v>
      </c>
      <c r="R105" s="19"/>
      <c r="S105" s="197">
        <f>Q105-(J105+K105)</f>
        <v>224.15789473684214</v>
      </c>
      <c r="T105" s="198"/>
      <c r="U105" s="198" t="s">
        <v>458</v>
      </c>
    </row>
    <row r="106" spans="1:21" s="191" customFormat="1" x14ac:dyDescent="0.3">
      <c r="A106" s="504"/>
      <c r="B106" s="202"/>
      <c r="C106" s="203"/>
      <c r="D106" s="194"/>
      <c r="E106" s="194"/>
      <c r="F106" s="194"/>
      <c r="G106" s="194"/>
      <c r="H106" s="194"/>
      <c r="I106" s="19"/>
      <c r="J106" s="194"/>
      <c r="K106" s="194"/>
      <c r="L106" s="19"/>
      <c r="M106" s="195"/>
      <c r="N106" s="196"/>
      <c r="O106" s="19"/>
      <c r="P106" s="195"/>
      <c r="Q106" s="195"/>
      <c r="R106" s="19"/>
      <c r="S106" s="197"/>
      <c r="T106" s="198"/>
      <c r="U106" s="198"/>
    </row>
    <row r="107" spans="1:21" s="9" customFormat="1" ht="14.4" customHeight="1" x14ac:dyDescent="0.3">
      <c r="A107" s="504"/>
      <c r="B107" s="59"/>
      <c r="C107" s="203"/>
      <c r="D107" s="18"/>
      <c r="E107" s="18"/>
      <c r="F107" s="18"/>
      <c r="G107" s="18"/>
      <c r="H107" s="18"/>
      <c r="I107" s="19"/>
      <c r="J107" s="18"/>
      <c r="K107" s="18"/>
      <c r="L107" s="19"/>
      <c r="M107" s="50"/>
      <c r="N107" s="49"/>
      <c r="O107" s="19"/>
      <c r="P107" s="195"/>
      <c r="Q107" s="195"/>
      <c r="R107" s="19"/>
      <c r="S107" s="51"/>
      <c r="T107" s="54"/>
      <c r="U107" s="54"/>
    </row>
    <row r="108" spans="1:21" s="9" customFormat="1" ht="14.4" customHeight="1" x14ac:dyDescent="0.3">
      <c r="A108" s="504"/>
      <c r="B108" s="59"/>
      <c r="C108" s="203"/>
      <c r="D108" s="18"/>
      <c r="E108" s="18"/>
      <c r="F108" s="18"/>
      <c r="G108" s="18"/>
      <c r="H108" s="18"/>
      <c r="I108" s="19"/>
      <c r="J108" s="18"/>
      <c r="K108" s="18"/>
      <c r="L108" s="19"/>
      <c r="M108" s="50"/>
      <c r="N108" s="49"/>
      <c r="O108" s="19"/>
      <c r="P108" s="195"/>
      <c r="Q108" s="195"/>
      <c r="R108" s="19"/>
      <c r="S108" s="51"/>
      <c r="T108" s="54"/>
      <c r="U108" s="54"/>
    </row>
    <row r="109" spans="1:21" s="9" customFormat="1" ht="14.4" customHeight="1" x14ac:dyDescent="0.3">
      <c r="A109" s="504"/>
      <c r="B109" s="59"/>
      <c r="C109" s="203"/>
      <c r="D109" s="18"/>
      <c r="E109" s="18"/>
      <c r="F109" s="18"/>
      <c r="G109" s="18"/>
      <c r="H109" s="18"/>
      <c r="I109" s="19"/>
      <c r="J109" s="18"/>
      <c r="K109" s="18"/>
      <c r="L109" s="19"/>
      <c r="M109" s="50"/>
      <c r="N109" s="49"/>
      <c r="O109" s="19"/>
      <c r="P109" s="195"/>
      <c r="Q109" s="195"/>
      <c r="R109" s="19"/>
      <c r="S109" s="51"/>
      <c r="T109" s="54"/>
      <c r="U109" s="54"/>
    </row>
    <row r="110" spans="1:21" s="9" customFormat="1" ht="14.4" customHeight="1" x14ac:dyDescent="0.3">
      <c r="A110" s="504"/>
      <c r="B110" s="59"/>
      <c r="C110" s="203"/>
      <c r="D110" s="18"/>
      <c r="E110" s="18"/>
      <c r="F110" s="18"/>
      <c r="G110" s="18"/>
      <c r="H110" s="18"/>
      <c r="I110" s="19"/>
      <c r="J110" s="18"/>
      <c r="K110" s="18"/>
      <c r="L110" s="19"/>
      <c r="M110" s="50"/>
      <c r="N110" s="49"/>
      <c r="O110" s="19"/>
      <c r="P110" s="195"/>
      <c r="Q110" s="195"/>
      <c r="R110" s="19"/>
      <c r="S110" s="51"/>
      <c r="T110" s="54"/>
      <c r="U110" s="54"/>
    </row>
    <row r="111" spans="1:21" s="9" customFormat="1" ht="14.4" customHeight="1" x14ac:dyDescent="0.3">
      <c r="A111" s="504"/>
      <c r="B111" s="59"/>
      <c r="C111" s="203"/>
      <c r="D111" s="18"/>
      <c r="E111" s="18"/>
      <c r="F111" s="18"/>
      <c r="G111" s="18"/>
      <c r="H111" s="18"/>
      <c r="I111" s="19"/>
      <c r="J111" s="18"/>
      <c r="K111" s="18"/>
      <c r="L111" s="19"/>
      <c r="M111" s="50"/>
      <c r="N111" s="49"/>
      <c r="O111" s="19"/>
      <c r="P111" s="195"/>
      <c r="Q111" s="195"/>
      <c r="R111" s="19"/>
      <c r="S111" s="51"/>
      <c r="T111" s="54"/>
      <c r="U111" s="54"/>
    </row>
    <row r="112" spans="1:21" s="9" customFormat="1" ht="14.4" customHeight="1" x14ac:dyDescent="0.3">
      <c r="A112" s="504"/>
      <c r="B112" s="59"/>
      <c r="C112" s="203"/>
      <c r="D112" s="18"/>
      <c r="E112" s="18"/>
      <c r="F112" s="18"/>
      <c r="G112" s="18"/>
      <c r="H112" s="18"/>
      <c r="I112" s="19"/>
      <c r="J112" s="18"/>
      <c r="K112" s="18"/>
      <c r="L112" s="19"/>
      <c r="M112" s="50"/>
      <c r="N112" s="49"/>
      <c r="O112" s="19"/>
      <c r="P112" s="195"/>
      <c r="Q112" s="195"/>
      <c r="R112" s="19"/>
      <c r="S112" s="51"/>
      <c r="T112" s="54"/>
      <c r="U112" s="54"/>
    </row>
    <row r="113" spans="1:21" s="9" customFormat="1" ht="14.4" customHeight="1" x14ac:dyDescent="0.3">
      <c r="A113" s="504"/>
      <c r="B113" s="59"/>
      <c r="C113" s="203"/>
      <c r="D113" s="18"/>
      <c r="E113" s="18"/>
      <c r="F113" s="18"/>
      <c r="G113" s="18"/>
      <c r="H113" s="18"/>
      <c r="I113" s="19"/>
      <c r="J113" s="18"/>
      <c r="K113" s="18"/>
      <c r="L113" s="19"/>
      <c r="M113" s="50"/>
      <c r="N113" s="49"/>
      <c r="O113" s="19"/>
      <c r="P113" s="195"/>
      <c r="Q113" s="195"/>
      <c r="R113" s="19"/>
      <c r="S113" s="51"/>
      <c r="T113" s="54"/>
      <c r="U113" s="54"/>
    </row>
    <row r="114" spans="1:21" s="9" customFormat="1" ht="14.4" customHeight="1" x14ac:dyDescent="0.3">
      <c r="A114" s="504"/>
      <c r="B114" s="59"/>
      <c r="C114" s="203"/>
      <c r="D114" s="18"/>
      <c r="E114" s="18"/>
      <c r="F114" s="18"/>
      <c r="G114" s="18"/>
      <c r="H114" s="18"/>
      <c r="I114" s="19"/>
      <c r="J114" s="18"/>
      <c r="K114" s="18"/>
      <c r="L114" s="19"/>
      <c r="M114" s="50"/>
      <c r="N114" s="49"/>
      <c r="O114" s="19"/>
      <c r="P114" s="195"/>
      <c r="Q114" s="195"/>
      <c r="R114" s="19"/>
      <c r="S114" s="51"/>
      <c r="T114" s="54"/>
      <c r="U114" s="54"/>
    </row>
    <row r="115" spans="1:21" s="9" customFormat="1" ht="14.4" customHeight="1" x14ac:dyDescent="0.3">
      <c r="A115" s="504"/>
      <c r="B115" s="59"/>
      <c r="C115" s="203"/>
      <c r="D115" s="18"/>
      <c r="E115" s="18"/>
      <c r="F115" s="18"/>
      <c r="G115" s="18"/>
      <c r="H115" s="18"/>
      <c r="I115" s="19"/>
      <c r="J115" s="18"/>
      <c r="K115" s="18"/>
      <c r="L115" s="19"/>
      <c r="M115" s="50"/>
      <c r="N115" s="49"/>
      <c r="O115" s="19"/>
      <c r="P115" s="195"/>
      <c r="Q115" s="195"/>
      <c r="R115" s="19"/>
      <c r="S115" s="51"/>
      <c r="T115" s="54"/>
      <c r="U115" s="54"/>
    </row>
    <row r="116" spans="1:21" s="9" customFormat="1" ht="14.4" customHeight="1" x14ac:dyDescent="0.3">
      <c r="A116" s="504"/>
      <c r="B116" s="59"/>
      <c r="C116" s="203"/>
      <c r="D116" s="18"/>
      <c r="E116" s="18"/>
      <c r="F116" s="18"/>
      <c r="G116" s="18"/>
      <c r="H116" s="18"/>
      <c r="I116" s="19"/>
      <c r="J116" s="18"/>
      <c r="K116" s="18"/>
      <c r="L116" s="19"/>
      <c r="M116" s="50"/>
      <c r="N116" s="49"/>
      <c r="O116" s="19"/>
      <c r="P116" s="195"/>
      <c r="Q116" s="195"/>
      <c r="R116" s="19"/>
      <c r="S116" s="51"/>
      <c r="T116" s="54"/>
      <c r="U116" s="54"/>
    </row>
    <row r="117" spans="1:21" s="9" customFormat="1" ht="14.4" customHeight="1" x14ac:dyDescent="0.3">
      <c r="A117" s="504"/>
      <c r="B117" s="59"/>
      <c r="C117" s="203"/>
      <c r="D117" s="18"/>
      <c r="E117" s="18"/>
      <c r="F117" s="18"/>
      <c r="G117" s="18"/>
      <c r="H117" s="18"/>
      <c r="I117" s="19"/>
      <c r="J117" s="18"/>
      <c r="K117" s="18"/>
      <c r="L117" s="19"/>
      <c r="M117" s="50"/>
      <c r="N117" s="49"/>
      <c r="O117" s="19"/>
      <c r="P117" s="195"/>
      <c r="Q117" s="195"/>
      <c r="R117" s="19"/>
      <c r="S117" s="51"/>
      <c r="T117" s="54"/>
      <c r="U117" s="54"/>
    </row>
    <row r="118" spans="1:21" s="9" customFormat="1" ht="14.4" customHeight="1" x14ac:dyDescent="0.3">
      <c r="A118" s="504"/>
      <c r="B118" s="59"/>
      <c r="C118" s="203"/>
      <c r="D118" s="18"/>
      <c r="E118" s="18"/>
      <c r="F118" s="18"/>
      <c r="G118" s="18"/>
      <c r="H118" s="18"/>
      <c r="I118" s="19"/>
      <c r="J118" s="18"/>
      <c r="K118" s="18"/>
      <c r="L118" s="19"/>
      <c r="M118" s="50"/>
      <c r="N118" s="49"/>
      <c r="O118" s="19"/>
      <c r="P118" s="195"/>
      <c r="Q118" s="195"/>
      <c r="R118" s="19"/>
      <c r="S118" s="51"/>
      <c r="T118" s="54"/>
      <c r="U118" s="54"/>
    </row>
    <row r="119" spans="1:21" s="9" customFormat="1" ht="14.4" customHeight="1" x14ac:dyDescent="0.3">
      <c r="A119" s="504"/>
      <c r="B119" s="59"/>
      <c r="C119" s="203"/>
      <c r="D119" s="18"/>
      <c r="E119" s="18"/>
      <c r="F119" s="18"/>
      <c r="G119" s="18"/>
      <c r="H119" s="18"/>
      <c r="I119" s="19"/>
      <c r="J119" s="18"/>
      <c r="K119" s="18"/>
      <c r="L119" s="19"/>
      <c r="M119" s="50"/>
      <c r="N119" s="49"/>
      <c r="O119" s="19"/>
      <c r="P119" s="195"/>
      <c r="Q119" s="195"/>
      <c r="R119" s="19"/>
      <c r="S119" s="51"/>
      <c r="T119" s="54"/>
      <c r="U119" s="54"/>
    </row>
    <row r="120" spans="1:21" s="9" customFormat="1" ht="14.4" customHeight="1" x14ac:dyDescent="0.3">
      <c r="A120" s="504"/>
      <c r="B120" s="59"/>
      <c r="C120" s="203"/>
      <c r="D120" s="18"/>
      <c r="E120" s="18"/>
      <c r="F120" s="18"/>
      <c r="G120" s="18"/>
      <c r="H120" s="18"/>
      <c r="I120" s="19"/>
      <c r="J120" s="18"/>
      <c r="K120" s="18"/>
      <c r="L120" s="19"/>
      <c r="M120" s="50"/>
      <c r="N120" s="49"/>
      <c r="O120" s="19"/>
      <c r="P120" s="195"/>
      <c r="Q120" s="195"/>
      <c r="R120" s="19"/>
      <c r="S120" s="51"/>
      <c r="T120" s="54"/>
      <c r="U120" s="54"/>
    </row>
    <row r="121" spans="1:21" s="9" customFormat="1" ht="14.4" customHeight="1" x14ac:dyDescent="0.3">
      <c r="A121" s="504"/>
      <c r="B121" s="59"/>
      <c r="C121" s="203"/>
      <c r="D121" s="18"/>
      <c r="E121" s="18"/>
      <c r="F121" s="18"/>
      <c r="G121" s="18"/>
      <c r="H121" s="18"/>
      <c r="I121" s="19"/>
      <c r="J121" s="18"/>
      <c r="K121" s="18"/>
      <c r="L121" s="19"/>
      <c r="M121" s="50"/>
      <c r="N121" s="49"/>
      <c r="O121" s="19"/>
      <c r="P121" s="195"/>
      <c r="Q121" s="195"/>
      <c r="R121" s="19"/>
      <c r="S121" s="51"/>
      <c r="T121" s="54"/>
      <c r="U121" s="54"/>
    </row>
    <row r="122" spans="1:21" s="9" customFormat="1" ht="14.4" customHeight="1" x14ac:dyDescent="0.3">
      <c r="A122" s="504"/>
      <c r="B122" s="59"/>
      <c r="C122" s="203"/>
      <c r="D122" s="18"/>
      <c r="E122" s="18"/>
      <c r="F122" s="18"/>
      <c r="G122" s="18"/>
      <c r="H122" s="18"/>
      <c r="I122" s="19"/>
      <c r="J122" s="18"/>
      <c r="K122" s="18"/>
      <c r="L122" s="19"/>
      <c r="M122" s="50"/>
      <c r="N122" s="49"/>
      <c r="O122" s="19"/>
      <c r="P122" s="195"/>
      <c r="Q122" s="195"/>
      <c r="R122" s="19"/>
      <c r="S122" s="51"/>
      <c r="T122" s="54"/>
      <c r="U122" s="54"/>
    </row>
    <row r="123" spans="1:21" s="9" customFormat="1" ht="14.4" customHeight="1" x14ac:dyDescent="0.3">
      <c r="A123" s="504"/>
      <c r="B123" s="59"/>
      <c r="C123" s="203"/>
      <c r="D123" s="18"/>
      <c r="E123" s="18"/>
      <c r="F123" s="18"/>
      <c r="G123" s="18"/>
      <c r="H123" s="18"/>
      <c r="I123" s="19"/>
      <c r="J123" s="18"/>
      <c r="K123" s="18"/>
      <c r="L123" s="19"/>
      <c r="M123" s="50"/>
      <c r="N123" s="49"/>
      <c r="O123" s="19"/>
      <c r="P123" s="195"/>
      <c r="Q123" s="195"/>
      <c r="R123" s="19"/>
      <c r="S123" s="51"/>
      <c r="T123" s="54"/>
      <c r="U123" s="54"/>
    </row>
    <row r="124" spans="1:21" s="9" customFormat="1" ht="14.4" customHeight="1" x14ac:dyDescent="0.3">
      <c r="A124" s="504"/>
      <c r="B124" s="59"/>
      <c r="C124" s="203"/>
      <c r="D124" s="18"/>
      <c r="E124" s="18"/>
      <c r="F124" s="18"/>
      <c r="G124" s="18"/>
      <c r="H124" s="18"/>
      <c r="I124" s="19"/>
      <c r="J124" s="18"/>
      <c r="K124" s="18"/>
      <c r="L124" s="19"/>
      <c r="M124" s="50"/>
      <c r="N124" s="49"/>
      <c r="O124" s="19"/>
      <c r="P124" s="195"/>
      <c r="Q124" s="195"/>
      <c r="R124" s="19"/>
      <c r="S124" s="51"/>
      <c r="T124" s="54"/>
      <c r="U124" s="54"/>
    </row>
    <row r="125" spans="1:21" s="9" customFormat="1" ht="14.4" customHeight="1" x14ac:dyDescent="0.3">
      <c r="A125" s="504"/>
      <c r="B125" s="59"/>
      <c r="C125" s="203"/>
      <c r="D125" s="18"/>
      <c r="E125" s="18"/>
      <c r="F125" s="18"/>
      <c r="G125" s="18"/>
      <c r="H125" s="18"/>
      <c r="I125" s="19"/>
      <c r="J125" s="18"/>
      <c r="K125" s="18"/>
      <c r="L125" s="19"/>
      <c r="M125" s="50"/>
      <c r="N125" s="49"/>
      <c r="O125" s="19"/>
      <c r="P125" s="195"/>
      <c r="Q125" s="195"/>
      <c r="R125" s="19"/>
      <c r="S125" s="51"/>
      <c r="T125" s="54"/>
      <c r="U125" s="54"/>
    </row>
    <row r="126" spans="1:21" s="9" customFormat="1" ht="14.4" customHeight="1" x14ac:dyDescent="0.3">
      <c r="A126" s="504"/>
      <c r="B126" s="59"/>
      <c r="C126" s="203"/>
      <c r="D126" s="18"/>
      <c r="E126" s="18"/>
      <c r="F126" s="18"/>
      <c r="G126" s="18"/>
      <c r="H126" s="18"/>
      <c r="I126" s="19"/>
      <c r="J126" s="18"/>
      <c r="K126" s="18"/>
      <c r="L126" s="19"/>
      <c r="M126" s="50"/>
      <c r="N126" s="49"/>
      <c r="O126" s="19"/>
      <c r="P126" s="195"/>
      <c r="Q126" s="195"/>
      <c r="R126" s="19"/>
      <c r="S126" s="51"/>
      <c r="T126" s="54"/>
      <c r="U126" s="54"/>
    </row>
    <row r="127" spans="1:21" s="9" customFormat="1" ht="14.4" customHeight="1" x14ac:dyDescent="0.3">
      <c r="A127" s="504"/>
      <c r="B127" s="59"/>
      <c r="C127" s="203"/>
      <c r="D127" s="18"/>
      <c r="E127" s="18"/>
      <c r="F127" s="18"/>
      <c r="G127" s="18"/>
      <c r="H127" s="18"/>
      <c r="I127" s="19"/>
      <c r="J127" s="18"/>
      <c r="K127" s="18"/>
      <c r="L127" s="19"/>
      <c r="M127" s="50"/>
      <c r="N127" s="49"/>
      <c r="O127" s="19"/>
      <c r="P127" s="195"/>
      <c r="Q127" s="195"/>
      <c r="R127" s="19"/>
      <c r="S127" s="51"/>
      <c r="T127" s="54"/>
      <c r="U127" s="54"/>
    </row>
    <row r="128" spans="1:21" s="9" customFormat="1" ht="14.4" customHeight="1" x14ac:dyDescent="0.3">
      <c r="A128" s="504"/>
      <c r="B128" s="59"/>
      <c r="C128" s="203"/>
      <c r="D128" s="18"/>
      <c r="E128" s="18"/>
      <c r="F128" s="18"/>
      <c r="G128" s="18"/>
      <c r="H128" s="18"/>
      <c r="I128" s="19"/>
      <c r="J128" s="18"/>
      <c r="K128" s="18"/>
      <c r="L128" s="19"/>
      <c r="M128" s="50"/>
      <c r="N128" s="49"/>
      <c r="O128" s="19"/>
      <c r="P128" s="195"/>
      <c r="Q128" s="195"/>
      <c r="R128" s="19"/>
      <c r="S128" s="51"/>
      <c r="T128" s="54"/>
      <c r="U128" s="54"/>
    </row>
    <row r="129" spans="1:21" s="9" customFormat="1" ht="14.4" customHeight="1" x14ac:dyDescent="0.3">
      <c r="A129" s="504"/>
      <c r="B129" s="59"/>
      <c r="C129" s="203"/>
      <c r="D129" s="18"/>
      <c r="E129" s="18"/>
      <c r="F129" s="18"/>
      <c r="G129" s="18"/>
      <c r="H129" s="18"/>
      <c r="I129" s="19"/>
      <c r="J129" s="18"/>
      <c r="K129" s="18"/>
      <c r="L129" s="19"/>
      <c r="M129" s="50"/>
      <c r="N129" s="49"/>
      <c r="O129" s="19"/>
      <c r="P129" s="195"/>
      <c r="Q129" s="195"/>
      <c r="R129" s="19"/>
      <c r="S129" s="51"/>
      <c r="T129" s="54"/>
      <c r="U129" s="54"/>
    </row>
    <row r="130" spans="1:21" s="9" customFormat="1" ht="14.4" customHeight="1" x14ac:dyDescent="0.3">
      <c r="A130" s="504"/>
      <c r="B130" s="59"/>
      <c r="C130" s="203"/>
      <c r="D130" s="18"/>
      <c r="E130" s="18"/>
      <c r="F130" s="18"/>
      <c r="G130" s="18"/>
      <c r="H130" s="18"/>
      <c r="I130" s="19"/>
      <c r="J130" s="18"/>
      <c r="K130" s="18"/>
      <c r="L130" s="19"/>
      <c r="M130" s="50"/>
      <c r="N130" s="49"/>
      <c r="O130" s="19"/>
      <c r="P130" s="195"/>
      <c r="Q130" s="195"/>
      <c r="R130" s="19"/>
      <c r="S130" s="51"/>
      <c r="T130" s="54"/>
      <c r="U130" s="54"/>
    </row>
    <row r="131" spans="1:21" s="9" customFormat="1" ht="14.4" customHeight="1" x14ac:dyDescent="0.3">
      <c r="A131" s="504"/>
      <c r="B131" s="59"/>
      <c r="C131" s="203"/>
      <c r="D131" s="18"/>
      <c r="E131" s="18"/>
      <c r="F131" s="18"/>
      <c r="G131" s="18"/>
      <c r="H131" s="18"/>
      <c r="I131" s="19"/>
      <c r="J131" s="18"/>
      <c r="K131" s="18"/>
      <c r="L131" s="19"/>
      <c r="M131" s="50"/>
      <c r="N131" s="49"/>
      <c r="O131" s="19"/>
      <c r="P131" s="195"/>
      <c r="Q131" s="195"/>
      <c r="R131" s="19"/>
      <c r="S131" s="51"/>
      <c r="T131" s="54"/>
      <c r="U131" s="54"/>
    </row>
    <row r="132" spans="1:21" s="9" customFormat="1" ht="14.4" customHeight="1" x14ac:dyDescent="0.3">
      <c r="A132" s="504"/>
      <c r="B132" s="59"/>
      <c r="C132" s="203"/>
      <c r="D132" s="18"/>
      <c r="E132" s="18"/>
      <c r="F132" s="18"/>
      <c r="G132" s="18"/>
      <c r="H132" s="18"/>
      <c r="I132" s="19"/>
      <c r="J132" s="18"/>
      <c r="K132" s="18"/>
      <c r="L132" s="19"/>
      <c r="M132" s="50"/>
      <c r="N132" s="49"/>
      <c r="O132" s="19"/>
      <c r="P132" s="195"/>
      <c r="Q132" s="195"/>
      <c r="R132" s="19"/>
      <c r="S132" s="51"/>
      <c r="T132" s="54"/>
      <c r="U132" s="54"/>
    </row>
    <row r="133" spans="1:21" s="9" customFormat="1" ht="14.4" customHeight="1" x14ac:dyDescent="0.3">
      <c r="A133" s="504"/>
      <c r="B133" s="59"/>
      <c r="C133" s="203"/>
      <c r="D133" s="18"/>
      <c r="E133" s="18"/>
      <c r="F133" s="18"/>
      <c r="G133" s="18"/>
      <c r="H133" s="18"/>
      <c r="I133" s="19"/>
      <c r="J133" s="18"/>
      <c r="K133" s="18"/>
      <c r="L133" s="19"/>
      <c r="M133" s="50"/>
      <c r="N133" s="49"/>
      <c r="O133" s="19"/>
      <c r="P133" s="195"/>
      <c r="Q133" s="195"/>
      <c r="R133" s="19"/>
      <c r="S133" s="51"/>
      <c r="T133" s="54"/>
      <c r="U133" s="54"/>
    </row>
    <row r="134" spans="1:21" s="9" customFormat="1" ht="14.4" customHeight="1" x14ac:dyDescent="0.3">
      <c r="A134" s="504"/>
      <c r="B134" s="59"/>
      <c r="C134" s="203"/>
      <c r="D134" s="18"/>
      <c r="E134" s="18"/>
      <c r="F134" s="18"/>
      <c r="G134" s="18"/>
      <c r="H134" s="18"/>
      <c r="I134" s="19"/>
      <c r="J134" s="18"/>
      <c r="K134" s="18"/>
      <c r="L134" s="19"/>
      <c r="M134" s="50"/>
      <c r="N134" s="49"/>
      <c r="O134" s="19"/>
      <c r="P134" s="195"/>
      <c r="Q134" s="195"/>
      <c r="R134" s="19"/>
      <c r="S134" s="51"/>
      <c r="T134" s="54"/>
      <c r="U134" s="54"/>
    </row>
    <row r="135" spans="1:21" s="9" customFormat="1" ht="14.4" customHeight="1" x14ac:dyDescent="0.3">
      <c r="A135" s="504"/>
      <c r="B135" s="59"/>
      <c r="C135" s="203"/>
      <c r="D135" s="18"/>
      <c r="E135" s="18"/>
      <c r="F135" s="18"/>
      <c r="G135" s="18"/>
      <c r="H135" s="18"/>
      <c r="I135" s="19"/>
      <c r="J135" s="18"/>
      <c r="K135" s="18"/>
      <c r="L135" s="19"/>
      <c r="M135" s="50"/>
      <c r="N135" s="49"/>
      <c r="O135" s="19"/>
      <c r="P135" s="195"/>
      <c r="Q135" s="195"/>
      <c r="R135" s="19"/>
      <c r="S135" s="51"/>
      <c r="T135" s="54"/>
      <c r="U135" s="54"/>
    </row>
    <row r="136" spans="1:21" s="9" customFormat="1" ht="14.4" customHeight="1" x14ac:dyDescent="0.3">
      <c r="A136" s="504"/>
      <c r="B136" s="59"/>
      <c r="C136" s="203"/>
      <c r="D136" s="18"/>
      <c r="E136" s="18"/>
      <c r="F136" s="18"/>
      <c r="G136" s="18"/>
      <c r="H136" s="18"/>
      <c r="I136" s="19"/>
      <c r="J136" s="18"/>
      <c r="K136" s="18"/>
      <c r="L136" s="19"/>
      <c r="M136" s="50"/>
      <c r="N136" s="49"/>
      <c r="O136" s="19"/>
      <c r="P136" s="195"/>
      <c r="Q136" s="195"/>
      <c r="R136" s="19"/>
      <c r="S136" s="51"/>
      <c r="T136" s="54"/>
      <c r="U136" s="54"/>
    </row>
    <row r="137" spans="1:21" s="9" customFormat="1" ht="14.4" customHeight="1" x14ac:dyDescent="0.3">
      <c r="A137" s="504"/>
      <c r="B137" s="59"/>
      <c r="C137" s="203"/>
      <c r="D137" s="18"/>
      <c r="E137" s="18"/>
      <c r="F137" s="18"/>
      <c r="G137" s="18"/>
      <c r="H137" s="18"/>
      <c r="I137" s="19"/>
      <c r="J137" s="18"/>
      <c r="K137" s="18"/>
      <c r="L137" s="19"/>
      <c r="M137" s="50"/>
      <c r="N137" s="49"/>
      <c r="O137" s="19"/>
      <c r="P137" s="195"/>
      <c r="Q137" s="195"/>
      <c r="R137" s="19"/>
      <c r="S137" s="51"/>
      <c r="T137" s="54"/>
      <c r="U137" s="54"/>
    </row>
    <row r="138" spans="1:21" s="9" customFormat="1" ht="14.4" customHeight="1" x14ac:dyDescent="0.3">
      <c r="A138" s="504"/>
      <c r="B138" s="59"/>
      <c r="C138" s="203"/>
      <c r="D138" s="18"/>
      <c r="E138" s="18"/>
      <c r="F138" s="18"/>
      <c r="G138" s="18"/>
      <c r="H138" s="18"/>
      <c r="I138" s="19"/>
      <c r="J138" s="18"/>
      <c r="K138" s="18"/>
      <c r="L138" s="19"/>
      <c r="M138" s="50"/>
      <c r="N138" s="49"/>
      <c r="O138" s="19"/>
      <c r="P138" s="195"/>
      <c r="Q138" s="195"/>
      <c r="R138" s="19"/>
      <c r="S138" s="51"/>
      <c r="T138" s="54"/>
      <c r="U138" s="54"/>
    </row>
    <row r="139" spans="1:21" s="9" customFormat="1" ht="14.4" customHeight="1" x14ac:dyDescent="0.3">
      <c r="A139" s="504"/>
      <c r="B139" s="59"/>
      <c r="C139" s="203"/>
      <c r="D139" s="18"/>
      <c r="E139" s="18"/>
      <c r="F139" s="18"/>
      <c r="G139" s="18"/>
      <c r="H139" s="18"/>
      <c r="I139" s="19"/>
      <c r="J139" s="18"/>
      <c r="K139" s="18"/>
      <c r="L139" s="19"/>
      <c r="M139" s="50"/>
      <c r="N139" s="49"/>
      <c r="O139" s="19"/>
      <c r="P139" s="195"/>
      <c r="Q139" s="195"/>
      <c r="R139" s="19"/>
      <c r="S139" s="51"/>
      <c r="T139" s="54"/>
      <c r="U139" s="54"/>
    </row>
    <row r="140" spans="1:21" s="9" customFormat="1" ht="14.4" customHeight="1" x14ac:dyDescent="0.3">
      <c r="A140" s="504"/>
      <c r="B140" s="59"/>
      <c r="C140" s="203"/>
      <c r="D140" s="18"/>
      <c r="E140" s="18"/>
      <c r="F140" s="18"/>
      <c r="G140" s="18"/>
      <c r="H140" s="18"/>
      <c r="I140" s="19"/>
      <c r="J140" s="18"/>
      <c r="K140" s="18"/>
      <c r="L140" s="19"/>
      <c r="M140" s="50"/>
      <c r="N140" s="49"/>
      <c r="O140" s="19"/>
      <c r="P140" s="195"/>
      <c r="Q140" s="195"/>
      <c r="R140" s="19"/>
      <c r="S140" s="51"/>
      <c r="T140" s="54"/>
      <c r="U140" s="54"/>
    </row>
    <row r="141" spans="1:21" s="9" customFormat="1" ht="14.4" customHeight="1" x14ac:dyDescent="0.3">
      <c r="A141" s="504"/>
      <c r="B141" s="59"/>
      <c r="C141" s="203"/>
      <c r="D141" s="18"/>
      <c r="E141" s="18"/>
      <c r="F141" s="18"/>
      <c r="G141" s="18"/>
      <c r="H141" s="18"/>
      <c r="I141" s="19"/>
      <c r="J141" s="18"/>
      <c r="K141" s="18"/>
      <c r="L141" s="19"/>
      <c r="M141" s="50"/>
      <c r="N141" s="49"/>
      <c r="O141" s="19"/>
      <c r="P141" s="195"/>
      <c r="Q141" s="195"/>
      <c r="R141" s="19"/>
      <c r="S141" s="51"/>
      <c r="T141" s="54"/>
      <c r="U141" s="54"/>
    </row>
    <row r="142" spans="1:21" s="9" customFormat="1" ht="14.4" customHeight="1" x14ac:dyDescent="0.3">
      <c r="A142" s="504"/>
      <c r="B142" s="59"/>
      <c r="C142" s="203"/>
      <c r="D142" s="18"/>
      <c r="E142" s="18"/>
      <c r="F142" s="18"/>
      <c r="G142" s="18"/>
      <c r="H142" s="18"/>
      <c r="I142" s="19"/>
      <c r="J142" s="18"/>
      <c r="K142" s="18"/>
      <c r="L142" s="19"/>
      <c r="M142" s="50"/>
      <c r="N142" s="49"/>
      <c r="O142" s="19"/>
      <c r="P142" s="195"/>
      <c r="Q142" s="195"/>
      <c r="R142" s="19"/>
      <c r="S142" s="51"/>
      <c r="T142" s="54"/>
      <c r="U142" s="54"/>
    </row>
    <row r="143" spans="1:21" s="9" customFormat="1" ht="14.4" customHeight="1" x14ac:dyDescent="0.3">
      <c r="A143" s="504"/>
      <c r="B143" s="59"/>
      <c r="C143" s="203"/>
      <c r="D143" s="18"/>
      <c r="E143" s="18"/>
      <c r="F143" s="18"/>
      <c r="G143" s="18"/>
      <c r="H143" s="18"/>
      <c r="I143" s="19"/>
      <c r="J143" s="18"/>
      <c r="K143" s="18"/>
      <c r="L143" s="19"/>
      <c r="M143" s="50"/>
      <c r="N143" s="49"/>
      <c r="O143" s="19"/>
      <c r="P143" s="195"/>
      <c r="Q143" s="195"/>
      <c r="R143" s="19"/>
      <c r="S143" s="51"/>
      <c r="T143" s="54"/>
      <c r="U143" s="54"/>
    </row>
    <row r="144" spans="1:21" s="9" customFormat="1" ht="14.4" customHeight="1" x14ac:dyDescent="0.3">
      <c r="A144" s="504"/>
      <c r="B144" s="59"/>
      <c r="C144" s="203"/>
      <c r="D144" s="18"/>
      <c r="E144" s="18"/>
      <c r="F144" s="18"/>
      <c r="G144" s="18"/>
      <c r="H144" s="18"/>
      <c r="I144" s="19"/>
      <c r="J144" s="18"/>
      <c r="K144" s="18"/>
      <c r="L144" s="19"/>
      <c r="M144" s="50"/>
      <c r="N144" s="49"/>
      <c r="O144" s="19"/>
      <c r="P144" s="195"/>
      <c r="Q144" s="195"/>
      <c r="R144" s="19"/>
      <c r="S144" s="51"/>
      <c r="T144" s="54"/>
      <c r="U144" s="54"/>
    </row>
    <row r="145" spans="1:21" s="9" customFormat="1" ht="14.4" customHeight="1" x14ac:dyDescent="0.3">
      <c r="A145" s="504"/>
      <c r="B145" s="59"/>
      <c r="C145" s="203"/>
      <c r="D145" s="18"/>
      <c r="E145" s="18"/>
      <c r="F145" s="18"/>
      <c r="G145" s="18"/>
      <c r="H145" s="18"/>
      <c r="I145" s="19"/>
      <c r="J145" s="18"/>
      <c r="K145" s="18"/>
      <c r="L145" s="19"/>
      <c r="M145" s="50"/>
      <c r="N145" s="49"/>
      <c r="O145" s="19"/>
      <c r="P145" s="195"/>
      <c r="Q145" s="195"/>
      <c r="R145" s="19"/>
      <c r="S145" s="51"/>
      <c r="T145" s="54"/>
      <c r="U145" s="54"/>
    </row>
    <row r="146" spans="1:21" s="9" customFormat="1" ht="14.4" customHeight="1" x14ac:dyDescent="0.3">
      <c r="A146" s="504"/>
      <c r="B146" s="59"/>
      <c r="C146" s="203"/>
      <c r="D146" s="18"/>
      <c r="E146" s="18"/>
      <c r="F146" s="18"/>
      <c r="G146" s="18"/>
      <c r="H146" s="18"/>
      <c r="I146" s="19"/>
      <c r="J146" s="18"/>
      <c r="K146" s="18"/>
      <c r="L146" s="19"/>
      <c r="M146" s="50"/>
      <c r="N146" s="49"/>
      <c r="O146" s="19"/>
      <c r="P146" s="195"/>
      <c r="Q146" s="195"/>
      <c r="R146" s="19"/>
      <c r="S146" s="51"/>
      <c r="T146" s="54"/>
      <c r="U146" s="54"/>
    </row>
    <row r="147" spans="1:21" s="9" customFormat="1" ht="14.4" customHeight="1" x14ac:dyDescent="0.3">
      <c r="A147" s="504"/>
      <c r="B147" s="59"/>
      <c r="C147" s="203"/>
      <c r="D147" s="18"/>
      <c r="E147" s="18"/>
      <c r="F147" s="18"/>
      <c r="G147" s="18"/>
      <c r="H147" s="18"/>
      <c r="I147" s="19"/>
      <c r="J147" s="18"/>
      <c r="K147" s="18"/>
      <c r="L147" s="19"/>
      <c r="M147" s="50"/>
      <c r="N147" s="49"/>
      <c r="O147" s="19"/>
      <c r="P147" s="195"/>
      <c r="Q147" s="195"/>
      <c r="R147" s="19"/>
      <c r="S147" s="51"/>
      <c r="T147" s="54"/>
      <c r="U147" s="54"/>
    </row>
    <row r="148" spans="1:21" s="9" customFormat="1" ht="14.4" customHeight="1" x14ac:dyDescent="0.3">
      <c r="A148" s="504"/>
      <c r="B148" s="59"/>
      <c r="C148" s="203"/>
      <c r="D148" s="18"/>
      <c r="E148" s="18"/>
      <c r="F148" s="18"/>
      <c r="G148" s="18"/>
      <c r="H148" s="18"/>
      <c r="I148" s="19"/>
      <c r="J148" s="18"/>
      <c r="K148" s="18"/>
      <c r="L148" s="19"/>
      <c r="M148" s="50"/>
      <c r="N148" s="49"/>
      <c r="O148" s="19"/>
      <c r="P148" s="195"/>
      <c r="Q148" s="195"/>
      <c r="R148" s="19"/>
      <c r="S148" s="51"/>
      <c r="T148" s="54"/>
      <c r="U148" s="54"/>
    </row>
    <row r="149" spans="1:21" s="9" customFormat="1" ht="14.4" customHeight="1" x14ac:dyDescent="0.3">
      <c r="A149" s="504"/>
      <c r="B149" s="59"/>
      <c r="C149" s="203"/>
      <c r="D149" s="18"/>
      <c r="E149" s="18"/>
      <c r="F149" s="18"/>
      <c r="G149" s="18"/>
      <c r="H149" s="18"/>
      <c r="I149" s="19"/>
      <c r="J149" s="18"/>
      <c r="K149" s="18"/>
      <c r="L149" s="19"/>
      <c r="M149" s="50"/>
      <c r="N149" s="49"/>
      <c r="O149" s="19"/>
      <c r="P149" s="195"/>
      <c r="Q149" s="195"/>
      <c r="R149" s="19"/>
      <c r="S149" s="51"/>
      <c r="T149" s="54"/>
      <c r="U149" s="54"/>
    </row>
    <row r="150" spans="1:21" s="9" customFormat="1" ht="14.4" customHeight="1" x14ac:dyDescent="0.3">
      <c r="A150" s="504"/>
      <c r="B150" s="59"/>
      <c r="C150" s="203"/>
      <c r="D150" s="18"/>
      <c r="E150" s="18"/>
      <c r="F150" s="18"/>
      <c r="G150" s="18"/>
      <c r="H150" s="18"/>
      <c r="I150" s="19"/>
      <c r="J150" s="18"/>
      <c r="K150" s="18"/>
      <c r="L150" s="19"/>
      <c r="M150" s="50"/>
      <c r="N150" s="49"/>
      <c r="O150" s="19"/>
      <c r="P150" s="195"/>
      <c r="Q150" s="195"/>
      <c r="R150" s="19"/>
      <c r="S150" s="51"/>
      <c r="T150" s="54"/>
      <c r="U150" s="54"/>
    </row>
    <row r="151" spans="1:21" s="9" customFormat="1" ht="14.4" customHeight="1" x14ac:dyDescent="0.3">
      <c r="A151" s="504"/>
      <c r="B151" s="59"/>
      <c r="C151" s="203"/>
      <c r="D151" s="18"/>
      <c r="E151" s="18"/>
      <c r="F151" s="18"/>
      <c r="G151" s="18"/>
      <c r="H151" s="18"/>
      <c r="I151" s="19"/>
      <c r="J151" s="18"/>
      <c r="K151" s="18"/>
      <c r="L151" s="19"/>
      <c r="M151" s="50"/>
      <c r="N151" s="49"/>
      <c r="O151" s="19"/>
      <c r="P151" s="195"/>
      <c r="Q151" s="195"/>
      <c r="R151" s="19"/>
      <c r="S151" s="51"/>
      <c r="T151" s="54"/>
      <c r="U151" s="54"/>
    </row>
    <row r="152" spans="1:21" s="9" customFormat="1" ht="14.4" customHeight="1" x14ac:dyDescent="0.3">
      <c r="A152" s="504"/>
      <c r="B152" s="59"/>
      <c r="C152" s="203"/>
      <c r="D152" s="18"/>
      <c r="E152" s="18"/>
      <c r="F152" s="18"/>
      <c r="G152" s="18"/>
      <c r="H152" s="18"/>
      <c r="I152" s="19"/>
      <c r="J152" s="18"/>
      <c r="K152" s="18"/>
      <c r="L152" s="19"/>
      <c r="M152" s="50"/>
      <c r="N152" s="49"/>
      <c r="O152" s="19"/>
      <c r="P152" s="195"/>
      <c r="Q152" s="195"/>
      <c r="R152" s="19"/>
      <c r="S152" s="51"/>
      <c r="T152" s="54"/>
      <c r="U152" s="54"/>
    </row>
    <row r="153" spans="1:21" s="9" customFormat="1" ht="14.4" customHeight="1" x14ac:dyDescent="0.3">
      <c r="A153" s="504"/>
      <c r="B153" s="59"/>
      <c r="C153" s="203"/>
      <c r="D153" s="18"/>
      <c r="E153" s="18"/>
      <c r="F153" s="18"/>
      <c r="G153" s="18"/>
      <c r="H153" s="18"/>
      <c r="I153" s="19"/>
      <c r="J153" s="18"/>
      <c r="K153" s="18"/>
      <c r="L153" s="19"/>
      <c r="M153" s="50"/>
      <c r="N153" s="49"/>
      <c r="O153" s="19"/>
      <c r="P153" s="195"/>
      <c r="Q153" s="195"/>
      <c r="R153" s="19"/>
      <c r="S153" s="51"/>
      <c r="T153" s="54"/>
      <c r="U153" s="54"/>
    </row>
    <row r="154" spans="1:21" s="9" customFormat="1" ht="14.4" customHeight="1" x14ac:dyDescent="0.3">
      <c r="A154" s="504"/>
      <c r="B154" s="59"/>
      <c r="C154" s="203"/>
      <c r="D154" s="18"/>
      <c r="E154" s="18"/>
      <c r="F154" s="18"/>
      <c r="G154" s="18"/>
      <c r="H154" s="18"/>
      <c r="I154" s="19"/>
      <c r="J154" s="18"/>
      <c r="K154" s="18"/>
      <c r="L154" s="19"/>
      <c r="M154" s="50"/>
      <c r="N154" s="49"/>
      <c r="O154" s="19"/>
      <c r="P154" s="195"/>
      <c r="Q154" s="195"/>
      <c r="R154" s="19"/>
      <c r="S154" s="51"/>
      <c r="T154" s="54"/>
      <c r="U154" s="54"/>
    </row>
    <row r="155" spans="1:21" s="9" customFormat="1" ht="14.4" customHeight="1" x14ac:dyDescent="0.3">
      <c r="A155" s="504"/>
      <c r="B155" s="59"/>
      <c r="C155" s="203"/>
      <c r="D155" s="18"/>
      <c r="E155" s="18"/>
      <c r="F155" s="18"/>
      <c r="G155" s="18"/>
      <c r="H155" s="18"/>
      <c r="I155" s="19"/>
      <c r="J155" s="18"/>
      <c r="K155" s="18"/>
      <c r="L155" s="19"/>
      <c r="M155" s="50"/>
      <c r="N155" s="49"/>
      <c r="O155" s="19"/>
      <c r="P155" s="195"/>
      <c r="Q155" s="195"/>
      <c r="R155" s="19"/>
      <c r="S155" s="51"/>
      <c r="T155" s="54"/>
      <c r="U155" s="54"/>
    </row>
    <row r="156" spans="1:21" s="9" customFormat="1" ht="14.4" customHeight="1" x14ac:dyDescent="0.3">
      <c r="A156" s="504"/>
      <c r="B156" s="59"/>
      <c r="C156" s="203"/>
      <c r="D156" s="18"/>
      <c r="E156" s="18"/>
      <c r="F156" s="18"/>
      <c r="G156" s="18"/>
      <c r="H156" s="18"/>
      <c r="I156" s="19"/>
      <c r="J156" s="18"/>
      <c r="K156" s="18"/>
      <c r="L156" s="19"/>
      <c r="M156" s="50"/>
      <c r="N156" s="49"/>
      <c r="O156" s="19"/>
      <c r="P156" s="195"/>
      <c r="Q156" s="195"/>
      <c r="R156" s="19"/>
      <c r="S156" s="51"/>
      <c r="T156" s="54"/>
      <c r="U156" s="54"/>
    </row>
    <row r="157" spans="1:21" s="9" customFormat="1" ht="14.4" customHeight="1" x14ac:dyDescent="0.3">
      <c r="A157" s="504"/>
      <c r="B157" s="59"/>
      <c r="C157" s="203"/>
      <c r="D157" s="18"/>
      <c r="E157" s="18"/>
      <c r="F157" s="18"/>
      <c r="G157" s="18"/>
      <c r="H157" s="18"/>
      <c r="I157" s="19"/>
      <c r="J157" s="18"/>
      <c r="K157" s="18"/>
      <c r="L157" s="19"/>
      <c r="M157" s="50"/>
      <c r="N157" s="49"/>
      <c r="O157" s="19"/>
      <c r="P157" s="195"/>
      <c r="Q157" s="195"/>
      <c r="R157" s="19"/>
      <c r="S157" s="51"/>
      <c r="T157" s="54"/>
      <c r="U157" s="54"/>
    </row>
    <row r="158" spans="1:21" s="9" customFormat="1" ht="14.4" customHeight="1" x14ac:dyDescent="0.3">
      <c r="A158" s="504"/>
      <c r="B158" s="59"/>
      <c r="C158" s="203"/>
      <c r="D158" s="18"/>
      <c r="E158" s="18"/>
      <c r="F158" s="18"/>
      <c r="G158" s="18"/>
      <c r="H158" s="18"/>
      <c r="I158" s="19"/>
      <c r="J158" s="18"/>
      <c r="K158" s="18"/>
      <c r="L158" s="19"/>
      <c r="M158" s="50"/>
      <c r="N158" s="49"/>
      <c r="O158" s="19"/>
      <c r="P158" s="195"/>
      <c r="Q158" s="195"/>
      <c r="R158" s="19"/>
      <c r="S158" s="51"/>
      <c r="T158" s="54"/>
      <c r="U158" s="54"/>
    </row>
    <row r="159" spans="1:21" s="9" customFormat="1" ht="14.4" customHeight="1" x14ac:dyDescent="0.3">
      <c r="A159" s="504"/>
      <c r="B159" s="59"/>
      <c r="C159" s="203"/>
      <c r="D159" s="18"/>
      <c r="E159" s="18"/>
      <c r="F159" s="18"/>
      <c r="G159" s="18"/>
      <c r="H159" s="18"/>
      <c r="I159" s="19"/>
      <c r="J159" s="18"/>
      <c r="K159" s="18"/>
      <c r="L159" s="19"/>
      <c r="M159" s="50"/>
      <c r="N159" s="49"/>
      <c r="O159" s="19"/>
      <c r="P159" s="195"/>
      <c r="Q159" s="195"/>
      <c r="R159" s="19"/>
      <c r="S159" s="51"/>
      <c r="T159" s="54"/>
      <c r="U159" s="54"/>
    </row>
    <row r="160" spans="1:21" s="9" customFormat="1" ht="14.4" customHeight="1" x14ac:dyDescent="0.3">
      <c r="A160" s="504"/>
      <c r="B160" s="59"/>
      <c r="C160" s="203"/>
      <c r="D160" s="18"/>
      <c r="E160" s="18"/>
      <c r="F160" s="18"/>
      <c r="G160" s="18"/>
      <c r="H160" s="18"/>
      <c r="I160" s="19"/>
      <c r="J160" s="18"/>
      <c r="K160" s="18"/>
      <c r="L160" s="19"/>
      <c r="M160" s="50"/>
      <c r="N160" s="49"/>
      <c r="O160" s="19"/>
      <c r="P160" s="195"/>
      <c r="Q160" s="195"/>
      <c r="R160" s="19"/>
      <c r="S160" s="51"/>
      <c r="T160" s="54"/>
      <c r="U160" s="54"/>
    </row>
    <row r="161" spans="1:21" s="9" customFormat="1" ht="14.4" customHeight="1" x14ac:dyDescent="0.3">
      <c r="A161" s="504"/>
      <c r="B161" s="59"/>
      <c r="C161" s="203"/>
      <c r="D161" s="18"/>
      <c r="E161" s="18"/>
      <c r="F161" s="18"/>
      <c r="G161" s="18"/>
      <c r="H161" s="18"/>
      <c r="I161" s="19"/>
      <c r="J161" s="18"/>
      <c r="K161" s="18"/>
      <c r="L161" s="19"/>
      <c r="M161" s="50"/>
      <c r="N161" s="49"/>
      <c r="O161" s="19"/>
      <c r="P161" s="195"/>
      <c r="Q161" s="195"/>
      <c r="R161" s="19"/>
      <c r="S161" s="51"/>
      <c r="T161" s="54"/>
      <c r="U161" s="54"/>
    </row>
    <row r="162" spans="1:21" s="9" customFormat="1" ht="14.4" customHeight="1" x14ac:dyDescent="0.3">
      <c r="A162" s="504"/>
      <c r="B162" s="59"/>
      <c r="C162" s="203"/>
      <c r="D162" s="18"/>
      <c r="E162" s="18"/>
      <c r="F162" s="18"/>
      <c r="G162" s="18"/>
      <c r="H162" s="18"/>
      <c r="I162" s="19"/>
      <c r="J162" s="18"/>
      <c r="K162" s="18"/>
      <c r="L162" s="19"/>
      <c r="M162" s="50"/>
      <c r="N162" s="49"/>
      <c r="O162" s="19"/>
      <c r="P162" s="195"/>
      <c r="Q162" s="195"/>
      <c r="R162" s="19"/>
      <c r="S162" s="51"/>
      <c r="T162" s="54"/>
      <c r="U162" s="54"/>
    </row>
    <row r="163" spans="1:21" s="9" customFormat="1" ht="14.4" customHeight="1" x14ac:dyDescent="0.3">
      <c r="A163" s="504"/>
      <c r="B163" s="59"/>
      <c r="C163" s="203"/>
      <c r="D163" s="18"/>
      <c r="E163" s="18"/>
      <c r="F163" s="18"/>
      <c r="G163" s="18"/>
      <c r="H163" s="18"/>
      <c r="I163" s="19"/>
      <c r="J163" s="18"/>
      <c r="K163" s="18"/>
      <c r="L163" s="19"/>
      <c r="M163" s="50"/>
      <c r="N163" s="49"/>
      <c r="O163" s="19"/>
      <c r="P163" s="195"/>
      <c r="Q163" s="195"/>
      <c r="R163" s="19"/>
      <c r="S163" s="51"/>
      <c r="T163" s="54"/>
      <c r="U163" s="54"/>
    </row>
    <row r="164" spans="1:21" s="9" customFormat="1" ht="14.4" customHeight="1" x14ac:dyDescent="0.3">
      <c r="A164" s="504"/>
      <c r="B164" s="59"/>
      <c r="C164" s="203"/>
      <c r="D164" s="18"/>
      <c r="E164" s="18"/>
      <c r="F164" s="18"/>
      <c r="G164" s="18"/>
      <c r="H164" s="18"/>
      <c r="I164" s="19"/>
      <c r="J164" s="18"/>
      <c r="K164" s="18"/>
      <c r="L164" s="19"/>
      <c r="M164" s="50"/>
      <c r="N164" s="49"/>
      <c r="O164" s="19"/>
      <c r="P164" s="195"/>
      <c r="Q164" s="195"/>
      <c r="R164" s="19"/>
      <c r="S164" s="51"/>
      <c r="T164" s="54"/>
      <c r="U164" s="54"/>
    </row>
    <row r="165" spans="1:21" s="9" customFormat="1" ht="14.4" customHeight="1" x14ac:dyDescent="0.3">
      <c r="A165" s="504"/>
      <c r="B165" s="59"/>
      <c r="C165" s="203"/>
      <c r="D165" s="18"/>
      <c r="E165" s="18"/>
      <c r="F165" s="18"/>
      <c r="G165" s="18"/>
      <c r="H165" s="18"/>
      <c r="I165" s="19"/>
      <c r="J165" s="18"/>
      <c r="K165" s="18"/>
      <c r="L165" s="19"/>
      <c r="M165" s="50"/>
      <c r="N165" s="49"/>
      <c r="O165" s="19"/>
      <c r="P165" s="195"/>
      <c r="Q165" s="195"/>
      <c r="R165" s="19"/>
      <c r="S165" s="51"/>
      <c r="T165" s="54"/>
      <c r="U165" s="54"/>
    </row>
    <row r="166" spans="1:21" s="9" customFormat="1" ht="14.4" customHeight="1" x14ac:dyDescent="0.3">
      <c r="A166" s="504"/>
      <c r="B166" s="59"/>
      <c r="C166" s="203"/>
      <c r="D166" s="18"/>
      <c r="E166" s="18"/>
      <c r="F166" s="18"/>
      <c r="G166" s="18"/>
      <c r="H166" s="18"/>
      <c r="I166" s="19"/>
      <c r="J166" s="18"/>
      <c r="K166" s="18"/>
      <c r="L166" s="19"/>
      <c r="M166" s="50"/>
      <c r="N166" s="49"/>
      <c r="O166" s="19"/>
      <c r="P166" s="195"/>
      <c r="Q166" s="195"/>
      <c r="R166" s="19"/>
      <c r="S166" s="51"/>
      <c r="T166" s="54"/>
      <c r="U166" s="54"/>
    </row>
    <row r="168" spans="1:21" x14ac:dyDescent="0.3">
      <c r="B168" s="56" t="s">
        <v>448</v>
      </c>
    </row>
    <row r="169" spans="1:21" x14ac:dyDescent="0.3">
      <c r="B169" s="56" t="s">
        <v>449</v>
      </c>
    </row>
  </sheetData>
  <mergeCells count="15">
    <mergeCell ref="B5:C5"/>
    <mergeCell ref="Q5:Q6"/>
    <mergeCell ref="K5:K6"/>
    <mergeCell ref="O5:O6"/>
    <mergeCell ref="N5:N6"/>
    <mergeCell ref="M5:M6"/>
    <mergeCell ref="P5:P6"/>
    <mergeCell ref="D5:H5"/>
    <mergeCell ref="U5:U6"/>
    <mergeCell ref="T5:T6"/>
    <mergeCell ref="L5:L6"/>
    <mergeCell ref="J5:J6"/>
    <mergeCell ref="I5:I6"/>
    <mergeCell ref="S5:S6"/>
    <mergeCell ref="R5:R6"/>
  </mergeCells>
  <phoneticPr fontId="7" type="noConversion"/>
  <pageMargins left="0.25" right="0.25" top="0.75" bottom="0.75" header="0.3" footer="0.3"/>
  <pageSetup paperSize="9" scale="75" orientation="landscape" r:id="rId1"/>
  <colBreaks count="1" manualBreakCount="1">
    <brk id="2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E195-F887-423A-967B-DB5734C33ED3}">
  <dimension ref="A2:T49"/>
  <sheetViews>
    <sheetView zoomScaleNormal="100" workbookViewId="0">
      <selection activeCell="J12" sqref="J12"/>
    </sheetView>
  </sheetViews>
  <sheetFormatPr baseColWidth="10" defaultColWidth="11.44140625" defaultRowHeight="14.4" x14ac:dyDescent="0.3"/>
  <cols>
    <col min="1" max="1" width="4.6640625" style="479" bestFit="1" customWidth="1"/>
    <col min="2" max="2" width="24.44140625" style="56" bestFit="1" customWidth="1"/>
    <col min="3" max="3" width="28.109375" style="56" bestFit="1" customWidth="1"/>
    <col min="4" max="4" width="6.33203125" style="56" customWidth="1"/>
    <col min="5" max="8" width="7.88671875" style="1" customWidth="1"/>
    <col min="9" max="9" width="1.88671875" style="1" customWidth="1"/>
    <col min="10" max="10" width="10.21875" style="1" bestFit="1" customWidth="1"/>
    <col min="11" max="11" width="10.21875" style="1" customWidth="1"/>
    <col min="12" max="12" width="1.88671875" style="1" customWidth="1"/>
    <col min="13" max="14" width="11.33203125" style="1" customWidth="1"/>
    <col min="15" max="15" width="1.88671875" style="1" customWidth="1"/>
    <col min="16" max="16" width="14.21875" style="1" customWidth="1"/>
    <col min="17" max="17" width="17.21875" style="1" customWidth="1"/>
    <col min="18" max="18" width="1.88671875" style="1" customWidth="1"/>
    <col min="19" max="19" width="4.33203125" style="1" bestFit="1" customWidth="1"/>
    <col min="20" max="20" width="49.33203125" style="1" bestFit="1" customWidth="1"/>
    <col min="21" max="21" width="148.33203125" style="1" bestFit="1" customWidth="1"/>
    <col min="22" max="16384" width="11.44140625" style="1"/>
  </cols>
  <sheetData>
    <row r="2" spans="1:20" x14ac:dyDescent="0.3">
      <c r="B2" s="56" t="s">
        <v>187</v>
      </c>
    </row>
    <row r="3" spans="1:20" x14ac:dyDescent="0.3">
      <c r="B3" s="56" t="s">
        <v>188</v>
      </c>
    </row>
    <row r="4" spans="1:20" x14ac:dyDescent="0.3">
      <c r="M4" s="1" t="s">
        <v>25</v>
      </c>
      <c r="N4" s="1" t="s">
        <v>161</v>
      </c>
    </row>
    <row r="5" spans="1:20" x14ac:dyDescent="0.3">
      <c r="B5" s="718"/>
      <c r="C5" s="719"/>
      <c r="D5" s="683"/>
      <c r="E5" s="721" t="s">
        <v>54</v>
      </c>
      <c r="F5" s="722"/>
      <c r="G5" s="722"/>
      <c r="H5" s="723"/>
      <c r="I5" s="712"/>
      <c r="J5" s="720" t="s">
        <v>3</v>
      </c>
      <c r="K5" s="720" t="s">
        <v>57</v>
      </c>
      <c r="L5" s="712"/>
      <c r="M5" s="720" t="s">
        <v>1</v>
      </c>
      <c r="N5" s="720" t="s">
        <v>2</v>
      </c>
      <c r="O5" s="712"/>
      <c r="P5" s="710" t="s">
        <v>101</v>
      </c>
      <c r="Q5" s="710" t="s">
        <v>194</v>
      </c>
      <c r="R5" s="712"/>
      <c r="S5" s="714" t="s">
        <v>35</v>
      </c>
      <c r="T5" s="716" t="s">
        <v>62</v>
      </c>
    </row>
    <row r="6" spans="1:20" ht="14.4" customHeight="1" x14ac:dyDescent="0.3">
      <c r="B6" s="66" t="s">
        <v>56</v>
      </c>
      <c r="C6" s="67" t="s">
        <v>55</v>
      </c>
      <c r="D6" s="682">
        <v>2025</v>
      </c>
      <c r="E6" s="68">
        <v>2024</v>
      </c>
      <c r="F6" s="68">
        <v>2023</v>
      </c>
      <c r="G6" s="68">
        <v>2022</v>
      </c>
      <c r="H6" s="68">
        <v>2021</v>
      </c>
      <c r="I6" s="713"/>
      <c r="J6" s="711"/>
      <c r="K6" s="711"/>
      <c r="L6" s="713"/>
      <c r="M6" s="711"/>
      <c r="N6" s="711"/>
      <c r="O6" s="713"/>
      <c r="P6" s="711"/>
      <c r="Q6" s="711"/>
      <c r="R6" s="713"/>
      <c r="S6" s="715"/>
      <c r="T6" s="717"/>
    </row>
    <row r="7" spans="1:20" s="9" customFormat="1" x14ac:dyDescent="0.3">
      <c r="A7" s="480"/>
      <c r="B7" s="58" t="s">
        <v>189</v>
      </c>
      <c r="C7" s="62" t="s">
        <v>189</v>
      </c>
      <c r="D7" s="62"/>
      <c r="E7" s="6">
        <v>567</v>
      </c>
      <c r="F7" s="6">
        <v>744</v>
      </c>
      <c r="G7" s="6">
        <v>392</v>
      </c>
      <c r="H7" s="6">
        <v>282</v>
      </c>
      <c r="I7" s="7"/>
      <c r="J7" s="6">
        <v>204</v>
      </c>
      <c r="K7" s="6">
        <v>0</v>
      </c>
      <c r="L7" s="7"/>
      <c r="M7" s="122">
        <f>SUM(F7:H7)/3</f>
        <v>472.66666666666669</v>
      </c>
      <c r="N7" s="175">
        <f>(SUM(E7:H7)/43.5)</f>
        <v>45.632183908045974</v>
      </c>
      <c r="O7" s="176"/>
      <c r="P7" s="122">
        <f>N7*3</f>
        <v>136.89655172413791</v>
      </c>
      <c r="Q7" s="122">
        <f>N7*5</f>
        <v>228.16091954022988</v>
      </c>
      <c r="R7" s="176"/>
      <c r="S7" s="378">
        <f>Q7-(J7+K7)</f>
        <v>24.160919540229884</v>
      </c>
      <c r="T7" s="53"/>
    </row>
    <row r="8" spans="1:20" s="9" customFormat="1" x14ac:dyDescent="0.3">
      <c r="A8" s="480"/>
      <c r="B8" s="59" t="s">
        <v>190</v>
      </c>
      <c r="C8" s="63" t="s">
        <v>192</v>
      </c>
      <c r="D8" s="63"/>
      <c r="E8" s="18"/>
      <c r="F8" s="18">
        <v>0</v>
      </c>
      <c r="G8" s="18">
        <v>10</v>
      </c>
      <c r="H8" s="18">
        <v>231</v>
      </c>
      <c r="I8" s="19"/>
      <c r="J8" s="18">
        <v>0</v>
      </c>
      <c r="K8" s="18">
        <v>0</v>
      </c>
      <c r="L8" s="19"/>
      <c r="M8" s="123">
        <f>SUM(F8:H8)/3</f>
        <v>80.333333333333329</v>
      </c>
      <c r="N8" s="124">
        <f t="shared" ref="N8:N9" si="0">(SUM(E8:H8)/38)</f>
        <v>6.3421052631578947</v>
      </c>
      <c r="O8" s="177"/>
      <c r="P8" s="123">
        <f t="shared" ref="P8:P9" si="1">N8*3</f>
        <v>19.026315789473685</v>
      </c>
      <c r="Q8" s="123">
        <f t="shared" ref="Q8:Q9" si="2">N8*5</f>
        <v>31.710526315789473</v>
      </c>
      <c r="R8" s="177"/>
      <c r="S8" s="54">
        <f t="shared" ref="S8" si="3">Q8-(J8+K8)</f>
        <v>31.710526315789473</v>
      </c>
      <c r="T8" s="54" t="s">
        <v>193</v>
      </c>
    </row>
    <row r="9" spans="1:20" s="9" customFormat="1" x14ac:dyDescent="0.3">
      <c r="A9" s="480"/>
      <c r="B9" s="52" t="s">
        <v>191</v>
      </c>
      <c r="C9" s="63" t="s">
        <v>191</v>
      </c>
      <c r="D9" s="63"/>
      <c r="E9" s="18"/>
      <c r="F9" s="18">
        <v>5</v>
      </c>
      <c r="G9" s="18">
        <v>153</v>
      </c>
      <c r="H9" s="18">
        <v>0</v>
      </c>
      <c r="I9" s="19"/>
      <c r="J9" s="18">
        <v>0</v>
      </c>
      <c r="K9" s="18">
        <v>0</v>
      </c>
      <c r="L9" s="19"/>
      <c r="M9" s="123">
        <f>SUM(F9:H9)/3</f>
        <v>52.666666666666664</v>
      </c>
      <c r="N9" s="124">
        <f t="shared" si="0"/>
        <v>4.1578947368421053</v>
      </c>
      <c r="O9" s="177"/>
      <c r="P9" s="123">
        <f t="shared" si="1"/>
        <v>12.473684210526315</v>
      </c>
      <c r="Q9" s="123">
        <f t="shared" si="2"/>
        <v>20.789473684210527</v>
      </c>
      <c r="R9" s="177"/>
      <c r="S9" s="54">
        <f>Q9-(J9+K9)</f>
        <v>20.789473684210527</v>
      </c>
      <c r="T9" s="54" t="s">
        <v>193</v>
      </c>
    </row>
    <row r="10" spans="1:20" s="100" customFormat="1" x14ac:dyDescent="0.3">
      <c r="A10" s="675"/>
      <c r="B10" s="107" t="s">
        <v>99</v>
      </c>
      <c r="C10" s="173"/>
      <c r="D10" s="173"/>
      <c r="E10" s="109">
        <f>SUM(E7:E9)</f>
        <v>567</v>
      </c>
      <c r="F10" s="109">
        <f>SUM(F7:F9)</f>
        <v>749</v>
      </c>
      <c r="G10" s="109">
        <f>SUM(G7:G9)</f>
        <v>555</v>
      </c>
      <c r="H10" s="109">
        <f>SUM(H7:H9)</f>
        <v>513</v>
      </c>
      <c r="I10" s="110"/>
      <c r="J10" s="109">
        <f>SUM(J7:J9)</f>
        <v>204</v>
      </c>
      <c r="K10" s="109"/>
      <c r="L10" s="110"/>
      <c r="M10" s="172">
        <f>(SUM(F10:H10)/3)</f>
        <v>605.66666666666663</v>
      </c>
      <c r="N10" s="178">
        <f>(SUM(E10:H10)/39)</f>
        <v>61.128205128205131</v>
      </c>
      <c r="O10" s="179"/>
      <c r="P10" s="172">
        <f>N10*3</f>
        <v>183.38461538461539</v>
      </c>
      <c r="Q10" s="172">
        <f>N10*6</f>
        <v>366.76923076923077</v>
      </c>
      <c r="R10" s="179"/>
      <c r="S10" s="445">
        <v>80</v>
      </c>
      <c r="T10" s="174" t="s">
        <v>366</v>
      </c>
    </row>
    <row r="11" spans="1:20" s="9" customFormat="1" x14ac:dyDescent="0.3">
      <c r="A11" s="480"/>
      <c r="B11" s="734"/>
      <c r="C11" s="735"/>
      <c r="D11" s="735"/>
      <c r="E11" s="735"/>
      <c r="F11" s="735"/>
      <c r="G11" s="735"/>
      <c r="H11" s="735"/>
      <c r="I11" s="735"/>
      <c r="J11" s="735"/>
      <c r="K11" s="735"/>
      <c r="L11" s="735"/>
      <c r="M11" s="735"/>
      <c r="N11" s="735"/>
      <c r="O11" s="735"/>
      <c r="P11" s="735"/>
      <c r="Q11" s="735"/>
      <c r="R11" s="735"/>
      <c r="S11" s="735"/>
      <c r="T11" s="736"/>
    </row>
    <row r="12" spans="1:20" s="9" customFormat="1" ht="28.8" x14ac:dyDescent="0.3">
      <c r="A12" s="480"/>
      <c r="B12" s="59" t="s">
        <v>307</v>
      </c>
      <c r="C12" s="63" t="s">
        <v>195</v>
      </c>
      <c r="D12" s="590">
        <v>5</v>
      </c>
      <c r="E12" s="18">
        <v>17</v>
      </c>
      <c r="F12" s="18">
        <v>6</v>
      </c>
      <c r="G12" s="18">
        <v>7</v>
      </c>
      <c r="H12" s="18">
        <v>12</v>
      </c>
      <c r="I12" s="19"/>
      <c r="J12" s="18">
        <v>2</v>
      </c>
      <c r="K12" s="18">
        <v>0</v>
      </c>
      <c r="L12" s="19"/>
      <c r="M12" s="123">
        <f>(SUM(E12:G12)/3)</f>
        <v>10</v>
      </c>
      <c r="N12" s="124">
        <f>(SUM(D12:G12)/38)</f>
        <v>0.92105263157894735</v>
      </c>
      <c r="O12" s="43"/>
      <c r="P12" s="124">
        <f>N12*3</f>
        <v>2.763157894736842</v>
      </c>
      <c r="Q12" s="123">
        <f>N12*4</f>
        <v>3.6842105263157894</v>
      </c>
      <c r="R12" s="19"/>
      <c r="S12" s="446">
        <v>8</v>
      </c>
      <c r="T12" s="234" t="s">
        <v>365</v>
      </c>
    </row>
    <row r="13" spans="1:20" s="9" customFormat="1" x14ac:dyDescent="0.3">
      <c r="A13" s="480"/>
      <c r="B13" s="59"/>
      <c r="C13" s="63"/>
      <c r="D13" s="63"/>
      <c r="E13" s="18"/>
      <c r="F13" s="18"/>
      <c r="G13" s="18"/>
      <c r="H13" s="18"/>
      <c r="I13" s="19"/>
      <c r="J13" s="18"/>
      <c r="K13" s="18"/>
      <c r="L13" s="19"/>
      <c r="M13" s="50"/>
      <c r="N13" s="49"/>
      <c r="O13" s="19"/>
      <c r="P13" s="50"/>
      <c r="Q13" s="50"/>
      <c r="R13" s="19"/>
      <c r="S13" s="51"/>
      <c r="T13" s="54"/>
    </row>
    <row r="14" spans="1:20" s="9" customFormat="1" x14ac:dyDescent="0.3">
      <c r="A14" s="480"/>
      <c r="B14" s="59">
        <v>607</v>
      </c>
      <c r="C14" s="63" t="s">
        <v>349</v>
      </c>
      <c r="D14" s="63"/>
      <c r="E14" s="209">
        <v>0</v>
      </c>
      <c r="F14" s="18">
        <v>7</v>
      </c>
      <c r="G14" s="18">
        <v>6</v>
      </c>
      <c r="H14" s="18">
        <v>2</v>
      </c>
      <c r="I14" s="19"/>
      <c r="J14" s="18">
        <v>0</v>
      </c>
      <c r="K14" s="18">
        <v>0</v>
      </c>
      <c r="L14" s="19"/>
      <c r="M14" s="123">
        <f>(SUM(F14:H14)/3)</f>
        <v>5</v>
      </c>
      <c r="N14" s="49">
        <f>(SUM(E14:H14)/45.5)</f>
        <v>0.32967032967032966</v>
      </c>
      <c r="O14" s="43"/>
      <c r="P14" s="49">
        <f>N14*3</f>
        <v>0.98901098901098905</v>
      </c>
      <c r="Q14" s="50">
        <f>N14*9</f>
        <v>2.9670329670329672</v>
      </c>
      <c r="R14" s="19"/>
      <c r="S14" s="446">
        <v>7</v>
      </c>
      <c r="T14" s="54" t="s">
        <v>364</v>
      </c>
    </row>
    <row r="15" spans="1:20" s="9" customFormat="1" x14ac:dyDescent="0.3">
      <c r="A15" s="480"/>
      <c r="B15" s="59"/>
      <c r="C15" s="63"/>
      <c r="D15" s="63"/>
      <c r="E15" s="18"/>
      <c r="F15" s="18"/>
      <c r="G15" s="18"/>
      <c r="H15" s="18"/>
      <c r="I15" s="19"/>
      <c r="J15" s="18"/>
      <c r="K15" s="18"/>
      <c r="L15" s="19"/>
      <c r="M15" s="50"/>
      <c r="N15" s="49"/>
      <c r="O15" s="43"/>
      <c r="P15" s="50"/>
      <c r="Q15" s="50"/>
      <c r="R15" s="19"/>
      <c r="S15" s="51"/>
      <c r="T15" s="54"/>
    </row>
    <row r="16" spans="1:20" s="9" customFormat="1" x14ac:dyDescent="0.3">
      <c r="A16" s="480"/>
      <c r="B16" s="59"/>
      <c r="C16" s="63"/>
      <c r="D16" s="63"/>
      <c r="E16" s="18"/>
      <c r="F16" s="18"/>
      <c r="G16" s="18"/>
      <c r="H16" s="18"/>
      <c r="I16" s="19"/>
      <c r="J16" s="18"/>
      <c r="K16" s="18"/>
      <c r="L16" s="19"/>
      <c r="M16" s="50"/>
      <c r="N16" s="49"/>
      <c r="O16" s="43"/>
      <c r="P16" s="50"/>
      <c r="Q16" s="50"/>
      <c r="R16" s="19"/>
      <c r="S16" s="51"/>
      <c r="T16" s="54"/>
    </row>
    <row r="17" spans="1:20" s="9" customFormat="1" x14ac:dyDescent="0.3">
      <c r="A17" s="480">
        <v>19.02</v>
      </c>
      <c r="B17" s="59" t="s">
        <v>303</v>
      </c>
      <c r="C17" s="63" t="s">
        <v>303</v>
      </c>
      <c r="D17" s="590">
        <f>1+21</f>
        <v>22</v>
      </c>
      <c r="E17" s="18">
        <v>160</v>
      </c>
      <c r="F17" s="18">
        <v>111</v>
      </c>
      <c r="G17" s="18">
        <v>90</v>
      </c>
      <c r="H17" s="18">
        <v>113</v>
      </c>
      <c r="I17" s="19"/>
      <c r="J17" s="18">
        <v>7</v>
      </c>
      <c r="K17" s="18">
        <v>0</v>
      </c>
      <c r="L17" s="19"/>
      <c r="M17" s="123">
        <f>(SUM(E17:G17)/3)</f>
        <v>120.33333333333333</v>
      </c>
      <c r="N17" s="124">
        <f>(SUM(D17:G17)/37.5)</f>
        <v>10.213333333333333</v>
      </c>
      <c r="O17" s="43"/>
      <c r="P17" s="124">
        <f>N17*3</f>
        <v>30.64</v>
      </c>
      <c r="Q17" s="123">
        <f>N17*6</f>
        <v>61.28</v>
      </c>
      <c r="R17" s="19"/>
      <c r="S17" s="446">
        <v>40</v>
      </c>
      <c r="T17" s="54" t="s">
        <v>304</v>
      </c>
    </row>
    <row r="18" spans="1:20" s="9" customFormat="1" x14ac:dyDescent="0.3">
      <c r="A18" s="480"/>
      <c r="B18" s="59"/>
      <c r="C18" s="63"/>
      <c r="D18" s="63"/>
      <c r="E18" s="18"/>
      <c r="F18" s="18"/>
      <c r="G18" s="18"/>
      <c r="H18" s="18"/>
      <c r="I18" s="19"/>
      <c r="J18" s="18"/>
      <c r="K18" s="18"/>
      <c r="L18" s="19"/>
      <c r="M18" s="50"/>
      <c r="N18" s="49"/>
      <c r="O18" s="19"/>
      <c r="P18" s="50"/>
      <c r="Q18" s="50"/>
      <c r="R18" s="19"/>
      <c r="S18" s="51"/>
      <c r="T18" s="54"/>
    </row>
    <row r="19" spans="1:20" s="9" customFormat="1" x14ac:dyDescent="0.3">
      <c r="A19" s="480"/>
      <c r="B19" s="59"/>
      <c r="C19" s="63"/>
      <c r="D19" s="63"/>
      <c r="E19" s="18"/>
      <c r="F19" s="18"/>
      <c r="G19" s="18"/>
      <c r="H19" s="18"/>
      <c r="I19" s="19"/>
      <c r="J19" s="18"/>
      <c r="K19" s="18"/>
      <c r="L19" s="19"/>
      <c r="M19" s="50"/>
      <c r="N19" s="49"/>
      <c r="O19" s="19"/>
      <c r="P19" s="50"/>
      <c r="Q19" s="50"/>
      <c r="R19" s="19"/>
      <c r="S19" s="51"/>
      <c r="T19" s="54"/>
    </row>
    <row r="20" spans="1:20" s="9" customFormat="1" x14ac:dyDescent="0.3">
      <c r="A20" s="480"/>
      <c r="B20" s="59"/>
      <c r="C20" s="63"/>
      <c r="D20" s="63"/>
      <c r="E20" s="18"/>
      <c r="F20" s="18"/>
      <c r="G20" s="18"/>
      <c r="H20" s="18"/>
      <c r="I20" s="19"/>
      <c r="J20" s="18"/>
      <c r="K20" s="18"/>
      <c r="L20" s="19"/>
      <c r="M20" s="50"/>
      <c r="N20" s="49"/>
      <c r="O20" s="19"/>
      <c r="P20" s="50"/>
      <c r="Q20" s="50"/>
      <c r="R20" s="19"/>
      <c r="S20" s="51"/>
      <c r="T20" s="54"/>
    </row>
    <row r="21" spans="1:20" s="9" customFormat="1" x14ac:dyDescent="0.3">
      <c r="A21" s="480"/>
      <c r="B21" s="59"/>
      <c r="C21" s="63"/>
      <c r="D21" s="63"/>
      <c r="E21" s="18"/>
      <c r="F21" s="18"/>
      <c r="G21" s="18"/>
      <c r="H21" s="18"/>
      <c r="I21" s="19"/>
      <c r="J21" s="18"/>
      <c r="K21" s="18"/>
      <c r="L21" s="19"/>
      <c r="M21" s="50"/>
      <c r="N21" s="49"/>
      <c r="O21" s="19"/>
      <c r="P21" s="50"/>
      <c r="Q21" s="50"/>
      <c r="R21" s="19"/>
      <c r="S21" s="51"/>
      <c r="T21" s="54"/>
    </row>
    <row r="22" spans="1:20" s="9" customFormat="1" x14ac:dyDescent="0.3">
      <c r="A22" s="480"/>
      <c r="B22" s="59"/>
      <c r="C22" s="63"/>
      <c r="D22" s="63"/>
      <c r="E22" s="18"/>
      <c r="F22" s="18"/>
      <c r="G22" s="18"/>
      <c r="H22" s="18"/>
      <c r="I22" s="19"/>
      <c r="J22" s="18"/>
      <c r="K22" s="18"/>
      <c r="L22" s="19"/>
      <c r="M22" s="50"/>
      <c r="N22" s="49"/>
      <c r="O22" s="19"/>
      <c r="P22" s="50"/>
      <c r="Q22" s="50"/>
      <c r="R22" s="19"/>
      <c r="S22" s="51"/>
      <c r="T22" s="54"/>
    </row>
    <row r="23" spans="1:20" s="9" customFormat="1" x14ac:dyDescent="0.3">
      <c r="A23" s="480"/>
      <c r="B23" s="59"/>
      <c r="C23" s="63"/>
      <c r="D23" s="63"/>
      <c r="E23" s="18"/>
      <c r="F23" s="18"/>
      <c r="G23" s="18"/>
      <c r="H23" s="18"/>
      <c r="I23" s="19"/>
      <c r="J23" s="18"/>
      <c r="K23" s="18"/>
      <c r="L23" s="19"/>
      <c r="M23" s="50"/>
      <c r="N23" s="49"/>
      <c r="O23" s="19"/>
      <c r="P23" s="50"/>
      <c r="Q23" s="50"/>
      <c r="R23" s="19"/>
      <c r="S23" s="51"/>
      <c r="T23" s="54"/>
    </row>
    <row r="24" spans="1:20" s="9" customFormat="1" x14ac:dyDescent="0.3">
      <c r="A24" s="480"/>
      <c r="B24" s="60"/>
      <c r="C24" s="65"/>
      <c r="D24" s="65"/>
      <c r="E24" s="44"/>
      <c r="F24" s="44"/>
      <c r="G24" s="44"/>
      <c r="H24" s="44"/>
      <c r="I24" s="45"/>
      <c r="J24" s="44"/>
      <c r="K24" s="44"/>
      <c r="L24" s="45"/>
      <c r="M24" s="44"/>
      <c r="N24" s="44"/>
      <c r="O24" s="45"/>
      <c r="P24" s="44"/>
      <c r="Q24" s="44"/>
      <c r="R24" s="45"/>
      <c r="S24" s="46"/>
      <c r="T24" s="55"/>
    </row>
    <row r="26" spans="1:20" x14ac:dyDescent="0.3">
      <c r="B26" s="1"/>
      <c r="C26" s="1"/>
      <c r="D26" s="1"/>
    </row>
    <row r="27" spans="1:20" x14ac:dyDescent="0.3">
      <c r="B27" s="1"/>
      <c r="C27" s="1"/>
      <c r="D27" s="1"/>
    </row>
    <row r="28" spans="1:20" x14ac:dyDescent="0.3">
      <c r="B28" s="1"/>
      <c r="C28" s="1"/>
      <c r="D28" s="1"/>
    </row>
    <row r="29" spans="1:20" x14ac:dyDescent="0.3">
      <c r="B29" s="1"/>
      <c r="C29" s="1"/>
      <c r="D29" s="1"/>
    </row>
    <row r="30" spans="1:20" x14ac:dyDescent="0.3">
      <c r="B30" s="1"/>
      <c r="C30" s="1"/>
      <c r="D30" s="1"/>
    </row>
    <row r="31" spans="1:20" x14ac:dyDescent="0.3">
      <c r="B31" s="1"/>
      <c r="C31" s="1"/>
      <c r="D31" s="1"/>
    </row>
    <row r="32" spans="1:20" x14ac:dyDescent="0.3">
      <c r="B32" s="1"/>
      <c r="C32" s="1"/>
      <c r="D32" s="1"/>
    </row>
    <row r="33" spans="1:4" x14ac:dyDescent="0.3">
      <c r="B33" s="1"/>
      <c r="C33" s="1"/>
      <c r="D33" s="1"/>
    </row>
    <row r="34" spans="1:4" x14ac:dyDescent="0.3">
      <c r="B34" s="1"/>
      <c r="C34" s="1"/>
      <c r="D34" s="1"/>
    </row>
    <row r="35" spans="1:4" s="158" customFormat="1" x14ac:dyDescent="0.3">
      <c r="A35" s="684"/>
    </row>
    <row r="36" spans="1:4" x14ac:dyDescent="0.3">
      <c r="B36" s="1"/>
      <c r="C36" s="1"/>
      <c r="D36" s="1"/>
    </row>
    <row r="37" spans="1:4" x14ac:dyDescent="0.3">
      <c r="B37" s="1"/>
      <c r="C37" s="1"/>
      <c r="D37" s="1"/>
    </row>
    <row r="38" spans="1:4" x14ac:dyDescent="0.3">
      <c r="B38" s="1"/>
      <c r="C38" s="1"/>
      <c r="D38" s="1"/>
    </row>
    <row r="39" spans="1:4" x14ac:dyDescent="0.3">
      <c r="B39" s="1"/>
      <c r="C39" s="1"/>
      <c r="D39" s="1"/>
    </row>
    <row r="40" spans="1:4" x14ac:dyDescent="0.3">
      <c r="B40" s="1"/>
      <c r="C40" s="1"/>
      <c r="D40" s="1"/>
    </row>
    <row r="41" spans="1:4" x14ac:dyDescent="0.3">
      <c r="B41" s="1"/>
      <c r="C41" s="1"/>
      <c r="D41" s="1"/>
    </row>
    <row r="42" spans="1:4" x14ac:dyDescent="0.3">
      <c r="B42" s="1"/>
      <c r="C42" s="1"/>
      <c r="D42" s="1"/>
    </row>
    <row r="43" spans="1:4" x14ac:dyDescent="0.3">
      <c r="B43" s="1"/>
      <c r="C43" s="1"/>
      <c r="D43" s="1"/>
    </row>
    <row r="44" spans="1:4" x14ac:dyDescent="0.3">
      <c r="B44" s="1"/>
      <c r="C44" s="1"/>
      <c r="D44" s="1"/>
    </row>
    <row r="45" spans="1:4" x14ac:dyDescent="0.3">
      <c r="B45" s="1"/>
      <c r="C45" s="1"/>
      <c r="D45" s="1"/>
    </row>
    <row r="46" spans="1:4" x14ac:dyDescent="0.3">
      <c r="B46" s="1"/>
      <c r="C46" s="1"/>
      <c r="D46" s="1"/>
    </row>
    <row r="47" spans="1:4" x14ac:dyDescent="0.3">
      <c r="B47" s="1"/>
      <c r="C47" s="1"/>
      <c r="D47" s="1"/>
    </row>
    <row r="48" spans="1:4" x14ac:dyDescent="0.3">
      <c r="B48" s="1"/>
      <c r="C48" s="1"/>
      <c r="D48" s="1"/>
    </row>
    <row r="49" spans="2:4" x14ac:dyDescent="0.3">
      <c r="B49" s="1"/>
      <c r="C49" s="1"/>
      <c r="D49" s="1"/>
    </row>
  </sheetData>
  <mergeCells count="15">
    <mergeCell ref="B11:T11"/>
    <mergeCell ref="S5:S6"/>
    <mergeCell ref="T5:T6"/>
    <mergeCell ref="M5:M6"/>
    <mergeCell ref="N5:N6"/>
    <mergeCell ref="O5:O6"/>
    <mergeCell ref="P5:P6"/>
    <mergeCell ref="Q5:Q6"/>
    <mergeCell ref="R5:R6"/>
    <mergeCell ref="L5:L6"/>
    <mergeCell ref="B5:C5"/>
    <mergeCell ref="E5:H5"/>
    <mergeCell ref="I5:I6"/>
    <mergeCell ref="J5:J6"/>
    <mergeCell ref="K5:K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AFB0-8CF8-44BB-9E10-D53B4971DB3A}">
  <sheetPr>
    <tabColor theme="7" tint="0.59999389629810485"/>
  </sheetPr>
  <dimension ref="A2:V73"/>
  <sheetViews>
    <sheetView zoomScale="90" zoomScaleNormal="90" workbookViewId="0">
      <pane ySplit="6" topLeftCell="A20" activePane="bottomLeft" state="frozen"/>
      <selection pane="bottomLeft" activeCell="D31" sqref="D31"/>
    </sheetView>
  </sheetViews>
  <sheetFormatPr baseColWidth="10" defaultColWidth="11.44140625" defaultRowHeight="14.4" x14ac:dyDescent="0.3"/>
  <cols>
    <col min="1" max="1" width="5.88671875" style="476" customWidth="1"/>
    <col min="2" max="2" width="28.44140625" style="56" customWidth="1"/>
    <col min="3" max="3" width="28.109375" style="56" bestFit="1" customWidth="1"/>
    <col min="4" max="8" width="7.88671875" style="1" customWidth="1"/>
    <col min="9" max="9" width="1.88671875" style="1" customWidth="1"/>
    <col min="10" max="10" width="10.21875" style="1" bestFit="1" customWidth="1"/>
    <col min="11" max="11" width="10.21875" style="1" customWidth="1"/>
    <col min="12" max="12" width="1.88671875" style="1" customWidth="1"/>
    <col min="13" max="14" width="11.33203125" style="1" customWidth="1"/>
    <col min="15" max="15" width="1.88671875" style="1" customWidth="1"/>
    <col min="16" max="16" width="14.21875" style="1" customWidth="1"/>
    <col min="17" max="17" width="17.21875" style="1" customWidth="1"/>
    <col min="18" max="18" width="1.88671875" style="1" customWidth="1"/>
    <col min="19" max="20" width="10.109375" style="1" customWidth="1"/>
    <col min="21" max="21" width="148.33203125" style="56" bestFit="1" customWidth="1"/>
    <col min="22" max="22" width="148.33203125" style="1" bestFit="1" customWidth="1"/>
    <col min="23" max="16384" width="11.44140625" style="1"/>
  </cols>
  <sheetData>
    <row r="2" spans="1:22" x14ac:dyDescent="0.3">
      <c r="B2" s="56" t="s">
        <v>66</v>
      </c>
      <c r="Q2" s="585" t="s">
        <v>454</v>
      </c>
    </row>
    <row r="3" spans="1:22" x14ac:dyDescent="0.3">
      <c r="B3" s="56" t="s">
        <v>63</v>
      </c>
      <c r="Q3" s="585" t="s">
        <v>456</v>
      </c>
      <c r="S3" s="1" t="s">
        <v>455</v>
      </c>
    </row>
    <row r="5" spans="1:22" x14ac:dyDescent="0.3">
      <c r="B5" s="718" t="s">
        <v>67</v>
      </c>
      <c r="C5" s="719"/>
      <c r="D5" s="721" t="s">
        <v>54</v>
      </c>
      <c r="E5" s="722"/>
      <c r="F5" s="722"/>
      <c r="G5" s="722"/>
      <c r="H5" s="723"/>
      <c r="I5" s="712"/>
      <c r="J5" s="720" t="s">
        <v>3</v>
      </c>
      <c r="K5" s="720" t="s">
        <v>57</v>
      </c>
      <c r="L5" s="712"/>
      <c r="M5" s="710" t="s">
        <v>446</v>
      </c>
      <c r="N5" s="710" t="s">
        <v>447</v>
      </c>
      <c r="O5" s="712"/>
      <c r="P5" s="710" t="s">
        <v>225</v>
      </c>
      <c r="Q5" s="710" t="s">
        <v>231</v>
      </c>
      <c r="R5" s="712"/>
      <c r="S5" s="714" t="s">
        <v>35</v>
      </c>
      <c r="T5" s="739" t="s">
        <v>316</v>
      </c>
      <c r="U5" s="737" t="s">
        <v>162</v>
      </c>
    </row>
    <row r="6" spans="1:22" ht="14.4" customHeight="1" x14ac:dyDescent="0.3">
      <c r="B6" s="66" t="s">
        <v>56</v>
      </c>
      <c r="C6" s="67" t="s">
        <v>55</v>
      </c>
      <c r="D6" s="68">
        <v>2025</v>
      </c>
      <c r="E6" s="68">
        <v>2024</v>
      </c>
      <c r="F6" s="68">
        <v>2023</v>
      </c>
      <c r="G6" s="68">
        <v>2022</v>
      </c>
      <c r="H6" s="68">
        <v>2021</v>
      </c>
      <c r="I6" s="713"/>
      <c r="J6" s="711"/>
      <c r="K6" s="711"/>
      <c r="L6" s="713"/>
      <c r="M6" s="711"/>
      <c r="N6" s="711"/>
      <c r="O6" s="713"/>
      <c r="P6" s="711"/>
      <c r="Q6" s="711"/>
      <c r="R6" s="713"/>
      <c r="S6" s="715"/>
      <c r="T6" s="740"/>
      <c r="U6" s="738"/>
    </row>
    <row r="7" spans="1:22" s="9" customFormat="1" x14ac:dyDescent="0.3">
      <c r="A7" s="477"/>
      <c r="B7" s="58" t="s">
        <v>68</v>
      </c>
      <c r="C7" s="62" t="s">
        <v>68</v>
      </c>
      <c r="D7" s="6"/>
      <c r="E7" s="6">
        <v>3</v>
      </c>
      <c r="F7" s="6">
        <v>10</v>
      </c>
      <c r="G7" s="6">
        <v>17</v>
      </c>
      <c r="H7" s="6">
        <v>28</v>
      </c>
      <c r="I7" s="7"/>
      <c r="J7" s="6">
        <v>0</v>
      </c>
      <c r="K7" s="6">
        <v>0</v>
      </c>
      <c r="L7" s="7"/>
      <c r="M7" s="8">
        <f>SUM(F7:H7)/3</f>
        <v>18.333333333333332</v>
      </c>
      <c r="N7" s="47">
        <f t="shared" ref="N7:N10" si="0">(SUM(E7:H7)/38)</f>
        <v>1.5263157894736843</v>
      </c>
      <c r="O7" s="7"/>
      <c r="P7" s="8">
        <f t="shared" ref="P7:P10" si="1">N7*3</f>
        <v>4.5789473684210531</v>
      </c>
      <c r="Q7" s="8">
        <f t="shared" ref="Q7:Q10" si="2">N7*5</f>
        <v>7.6315789473684212</v>
      </c>
      <c r="R7" s="7"/>
      <c r="S7" s="48">
        <f t="shared" ref="S7:S10" si="3">Q7-(J7+K7)</f>
        <v>7.6315789473684212</v>
      </c>
      <c r="T7" s="48"/>
      <c r="U7" s="379"/>
    </row>
    <row r="8" spans="1:22" s="9" customFormat="1" x14ac:dyDescent="0.3">
      <c r="A8" s="477"/>
      <c r="B8" s="52" t="s">
        <v>70</v>
      </c>
      <c r="C8" s="63" t="s">
        <v>70</v>
      </c>
      <c r="D8" s="18"/>
      <c r="E8" s="18">
        <v>1</v>
      </c>
      <c r="F8" s="18">
        <v>33</v>
      </c>
      <c r="G8" s="18">
        <v>21</v>
      </c>
      <c r="H8" s="18">
        <v>87</v>
      </c>
      <c r="I8" s="19"/>
      <c r="J8" s="18">
        <v>2</v>
      </c>
      <c r="K8" s="18">
        <v>0</v>
      </c>
      <c r="L8" s="19"/>
      <c r="M8" s="50">
        <f>SUM(F8:H8)/3</f>
        <v>47</v>
      </c>
      <c r="N8" s="49">
        <f t="shared" si="0"/>
        <v>3.736842105263158</v>
      </c>
      <c r="O8" s="19"/>
      <c r="P8" s="50">
        <f t="shared" si="1"/>
        <v>11.210526315789474</v>
      </c>
      <c r="Q8" s="50">
        <f t="shared" si="2"/>
        <v>18.684210526315791</v>
      </c>
      <c r="R8" s="19"/>
      <c r="S8" s="51">
        <f t="shared" si="3"/>
        <v>16.684210526315791</v>
      </c>
      <c r="T8" s="51"/>
      <c r="U8" s="380" t="s">
        <v>90</v>
      </c>
    </row>
    <row r="9" spans="1:22" s="9" customFormat="1" x14ac:dyDescent="0.3">
      <c r="A9" s="477"/>
      <c r="B9" s="52" t="s">
        <v>71</v>
      </c>
      <c r="C9" s="64" t="s">
        <v>71</v>
      </c>
      <c r="D9" s="42"/>
      <c r="E9" s="42">
        <v>0</v>
      </c>
      <c r="F9" s="42">
        <v>6</v>
      </c>
      <c r="G9" s="42">
        <v>14</v>
      </c>
      <c r="H9" s="42">
        <v>16</v>
      </c>
      <c r="I9" s="43"/>
      <c r="J9" s="42">
        <v>1</v>
      </c>
      <c r="K9" s="42">
        <v>0</v>
      </c>
      <c r="L9" s="43"/>
      <c r="M9" s="50">
        <f>SUM(F9:H9)/3</f>
        <v>12</v>
      </c>
      <c r="N9" s="49">
        <f t="shared" si="0"/>
        <v>0.94736842105263153</v>
      </c>
      <c r="O9" s="43"/>
      <c r="P9" s="50">
        <f t="shared" si="1"/>
        <v>2.8421052631578947</v>
      </c>
      <c r="Q9" s="50">
        <f t="shared" si="2"/>
        <v>4.7368421052631575</v>
      </c>
      <c r="R9" s="43"/>
      <c r="S9" s="51">
        <f t="shared" si="3"/>
        <v>3.7368421052631575</v>
      </c>
      <c r="T9" s="51"/>
      <c r="U9" s="380" t="s">
        <v>90</v>
      </c>
    </row>
    <row r="10" spans="1:22" s="9" customFormat="1" x14ac:dyDescent="0.3">
      <c r="A10" s="477"/>
      <c r="B10" s="59" t="s">
        <v>138</v>
      </c>
      <c r="C10" s="63" t="s">
        <v>138</v>
      </c>
      <c r="D10" s="18"/>
      <c r="E10" s="18">
        <v>0</v>
      </c>
      <c r="F10" s="18">
        <v>2</v>
      </c>
      <c r="G10" s="18">
        <v>0</v>
      </c>
      <c r="H10" s="18">
        <v>0</v>
      </c>
      <c r="I10" s="19"/>
      <c r="J10" s="18">
        <v>19</v>
      </c>
      <c r="K10" s="18">
        <v>0</v>
      </c>
      <c r="L10" s="19"/>
      <c r="M10" s="50">
        <f>SUM(F10:H10)/2</f>
        <v>1</v>
      </c>
      <c r="N10" s="49">
        <f t="shared" si="0"/>
        <v>5.2631578947368418E-2</v>
      </c>
      <c r="O10" s="43"/>
      <c r="P10" s="50">
        <f t="shared" si="1"/>
        <v>0.15789473684210525</v>
      </c>
      <c r="Q10" s="50">
        <f t="shared" si="2"/>
        <v>0.26315789473684209</v>
      </c>
      <c r="R10" s="19"/>
      <c r="S10" s="51">
        <f t="shared" si="3"/>
        <v>-18.736842105263158</v>
      </c>
      <c r="T10" s="51"/>
      <c r="U10" s="380" t="s">
        <v>139</v>
      </c>
    </row>
    <row r="11" spans="1:22" s="9" customFormat="1" x14ac:dyDescent="0.3">
      <c r="A11" s="477"/>
      <c r="B11" s="59" t="s">
        <v>164</v>
      </c>
      <c r="C11" s="63" t="s">
        <v>69</v>
      </c>
      <c r="D11" s="18"/>
      <c r="E11" s="18">
        <v>0</v>
      </c>
      <c r="F11" s="18">
        <v>2</v>
      </c>
      <c r="G11" s="18">
        <v>0</v>
      </c>
      <c r="H11" s="18">
        <v>0</v>
      </c>
      <c r="I11" s="19"/>
      <c r="J11" s="18">
        <v>19</v>
      </c>
      <c r="K11" s="18">
        <v>0</v>
      </c>
      <c r="L11" s="19"/>
      <c r="M11" s="50">
        <f>SUM(F11:H11)/3</f>
        <v>0.66666666666666663</v>
      </c>
      <c r="N11" s="49">
        <f>(SUM(E11:H11)/38)</f>
        <v>5.2631578947368418E-2</v>
      </c>
      <c r="O11" s="19"/>
      <c r="P11" s="50">
        <f>N11*3</f>
        <v>0.15789473684210525</v>
      </c>
      <c r="Q11" s="50">
        <f>N11*5</f>
        <v>0.26315789473684209</v>
      </c>
      <c r="R11" s="19"/>
      <c r="S11" s="51">
        <f>Q11-(J11+K11)</f>
        <v>-18.736842105263158</v>
      </c>
      <c r="T11" s="51"/>
      <c r="U11" s="380"/>
    </row>
    <row r="12" spans="1:22" s="9" customFormat="1" x14ac:dyDescent="0.3">
      <c r="A12" s="477"/>
      <c r="B12" s="59" t="s">
        <v>212</v>
      </c>
      <c r="C12" s="63" t="s">
        <v>212</v>
      </c>
      <c r="D12" s="18"/>
      <c r="E12" s="18">
        <v>3</v>
      </c>
      <c r="F12" s="18">
        <v>5</v>
      </c>
      <c r="G12" s="18">
        <v>0</v>
      </c>
      <c r="H12" s="18">
        <v>4</v>
      </c>
      <c r="I12" s="19"/>
      <c r="J12" s="18">
        <v>0</v>
      </c>
      <c r="K12" s="18">
        <v>1</v>
      </c>
      <c r="L12" s="19"/>
      <c r="M12" s="50">
        <f>SUM(F12:H12)/3</f>
        <v>3</v>
      </c>
      <c r="N12" s="49">
        <f>(SUM(E12:H12)/43)</f>
        <v>0.27906976744186046</v>
      </c>
      <c r="O12" s="43"/>
      <c r="P12" s="50">
        <f>N12*3</f>
        <v>0.83720930232558133</v>
      </c>
      <c r="Q12" s="50">
        <f>N12*5</f>
        <v>1.3953488372093024</v>
      </c>
      <c r="R12" s="19"/>
      <c r="S12" s="51">
        <v>1</v>
      </c>
      <c r="T12" s="51"/>
      <c r="U12" s="380"/>
    </row>
    <row r="13" spans="1:22" s="9" customFormat="1" ht="28.8" x14ac:dyDescent="0.3">
      <c r="A13" s="477"/>
      <c r="B13" s="59" t="s">
        <v>321</v>
      </c>
      <c r="C13" s="63" t="s">
        <v>320</v>
      </c>
      <c r="D13" s="18"/>
      <c r="E13" s="18"/>
      <c r="F13" s="18"/>
      <c r="G13" s="18"/>
      <c r="H13" s="18"/>
      <c r="I13" s="19"/>
      <c r="J13" s="18"/>
      <c r="K13" s="18"/>
      <c r="L13" s="19"/>
      <c r="M13" s="50"/>
      <c r="N13" s="49"/>
      <c r="O13" s="19"/>
      <c r="P13" s="50"/>
      <c r="Q13" s="50"/>
      <c r="R13" s="19"/>
      <c r="S13" s="51"/>
      <c r="T13" s="51"/>
      <c r="U13" s="380"/>
    </row>
    <row r="14" spans="1:22" s="9" customFormat="1" x14ac:dyDescent="0.3">
      <c r="A14" s="477"/>
      <c r="B14" s="59" t="s">
        <v>317</v>
      </c>
      <c r="C14" s="63" t="s">
        <v>317</v>
      </c>
      <c r="D14" s="18"/>
      <c r="E14" s="18"/>
      <c r="F14" s="18"/>
      <c r="G14" s="18"/>
      <c r="H14" s="18"/>
      <c r="I14" s="19"/>
      <c r="J14" s="18"/>
      <c r="K14" s="18"/>
      <c r="L14" s="19"/>
      <c r="M14" s="50"/>
      <c r="N14" s="49"/>
      <c r="O14" s="19"/>
      <c r="P14" s="50"/>
      <c r="Q14" s="50"/>
      <c r="R14" s="19"/>
      <c r="S14" s="51"/>
      <c r="T14" s="51">
        <v>40</v>
      </c>
      <c r="U14" s="380"/>
    </row>
    <row r="15" spans="1:22" s="9" customFormat="1" x14ac:dyDescent="0.3">
      <c r="A15" s="477"/>
      <c r="B15" s="59" t="s">
        <v>241</v>
      </c>
      <c r="C15" s="63" t="s">
        <v>241</v>
      </c>
      <c r="D15" s="18"/>
      <c r="E15" s="18">
        <f>4+1+17</f>
        <v>22</v>
      </c>
      <c r="F15" s="18" t="s">
        <v>113</v>
      </c>
      <c r="G15" s="18" t="s">
        <v>113</v>
      </c>
      <c r="H15" s="18" t="s">
        <v>113</v>
      </c>
      <c r="I15" s="19"/>
      <c r="J15" s="18">
        <v>0</v>
      </c>
      <c r="K15" s="18">
        <v>0</v>
      </c>
      <c r="L15" s="19"/>
      <c r="M15" s="123">
        <f>SUM(F15:H15)/3</f>
        <v>0</v>
      </c>
      <c r="N15" s="49">
        <f>(SUM(E15)/6)</f>
        <v>3.6666666666666665</v>
      </c>
      <c r="O15" s="43"/>
      <c r="P15" s="50">
        <f>N15*1.5</f>
        <v>5.5</v>
      </c>
      <c r="Q15" s="50">
        <f>N15*2.5</f>
        <v>9.1666666666666661</v>
      </c>
      <c r="R15" s="19"/>
      <c r="S15" s="51">
        <v>9</v>
      </c>
      <c r="T15" s="51"/>
      <c r="U15" s="380" t="s">
        <v>357</v>
      </c>
      <c r="V15" s="9" t="s">
        <v>354</v>
      </c>
    </row>
    <row r="16" spans="1:22" s="9" customFormat="1" x14ac:dyDescent="0.3">
      <c r="A16" s="477"/>
      <c r="B16" s="59" t="s">
        <v>359</v>
      </c>
      <c r="C16" s="63" t="s">
        <v>359</v>
      </c>
      <c r="D16" s="18"/>
      <c r="E16" s="18">
        <v>2</v>
      </c>
      <c r="F16" s="18">
        <v>0</v>
      </c>
      <c r="G16" s="18">
        <v>0</v>
      </c>
      <c r="H16" s="18">
        <v>0</v>
      </c>
      <c r="I16" s="19"/>
      <c r="J16" s="18">
        <v>0</v>
      </c>
      <c r="K16" s="18">
        <v>0</v>
      </c>
      <c r="L16" s="19"/>
      <c r="M16" s="123"/>
      <c r="N16" s="49"/>
      <c r="O16" s="43"/>
      <c r="P16" s="50"/>
      <c r="Q16" s="50"/>
      <c r="R16" s="19"/>
      <c r="S16" s="51"/>
      <c r="T16" s="51"/>
      <c r="U16" s="380" t="s">
        <v>360</v>
      </c>
    </row>
    <row r="17" spans="1:21" s="9" customFormat="1" ht="28.8" x14ac:dyDescent="0.3">
      <c r="A17" s="477"/>
      <c r="B17" s="59" t="s">
        <v>437</v>
      </c>
      <c r="C17" s="63" t="s">
        <v>227</v>
      </c>
      <c r="D17" s="18"/>
      <c r="E17" s="18">
        <v>23</v>
      </c>
      <c r="F17" s="18">
        <v>36</v>
      </c>
      <c r="G17" s="18">
        <v>54</v>
      </c>
      <c r="H17" s="18">
        <v>124</v>
      </c>
      <c r="I17" s="19"/>
      <c r="J17" s="18">
        <v>4</v>
      </c>
      <c r="K17" s="18">
        <v>1</v>
      </c>
      <c r="L17" s="19"/>
      <c r="M17" s="50">
        <f>SUM(F17:H17)/3</f>
        <v>71.333333333333329</v>
      </c>
      <c r="N17" s="49">
        <f>((SUM(E17:G17))/35)</f>
        <v>3.2285714285714286</v>
      </c>
      <c r="O17" s="43"/>
      <c r="P17" s="50">
        <f>N17*1.5</f>
        <v>4.8428571428571434</v>
      </c>
      <c r="Q17" s="50">
        <f>N17*2.5</f>
        <v>8.0714285714285712</v>
      </c>
      <c r="R17" s="19"/>
      <c r="S17" s="51">
        <f>Q17-(J17+K17)</f>
        <v>3.0714285714285712</v>
      </c>
      <c r="T17" s="51"/>
      <c r="U17" s="676" t="s">
        <v>500</v>
      </c>
    </row>
    <row r="18" spans="1:21" s="9" customFormat="1" x14ac:dyDescent="0.3">
      <c r="A18" s="477"/>
      <c r="B18" s="383" t="s">
        <v>322</v>
      </c>
      <c r="C18" s="62" t="s">
        <v>318</v>
      </c>
      <c r="D18" s="6"/>
      <c r="E18" s="6">
        <f>29+2</f>
        <v>31</v>
      </c>
      <c r="F18" s="6">
        <v>0</v>
      </c>
      <c r="G18" s="6">
        <v>0</v>
      </c>
      <c r="H18" s="6">
        <v>0</v>
      </c>
      <c r="I18" s="7"/>
      <c r="J18" s="6">
        <v>5</v>
      </c>
      <c r="K18" s="6">
        <v>0</v>
      </c>
      <c r="L18" s="7"/>
      <c r="M18" s="8"/>
      <c r="N18" s="47"/>
      <c r="O18" s="7"/>
      <c r="P18" s="8"/>
      <c r="Q18" s="8"/>
      <c r="R18" s="7"/>
      <c r="S18" s="48"/>
      <c r="T18" s="48"/>
      <c r="U18" s="379" t="s">
        <v>319</v>
      </c>
    </row>
    <row r="19" spans="1:21" s="9" customFormat="1" x14ac:dyDescent="0.3">
      <c r="A19" s="477"/>
      <c r="B19" s="384" t="s">
        <v>324</v>
      </c>
      <c r="C19" s="63" t="s">
        <v>323</v>
      </c>
      <c r="D19" s="18"/>
      <c r="E19" s="18">
        <v>3</v>
      </c>
      <c r="F19" s="18">
        <v>33</v>
      </c>
      <c r="G19" s="18">
        <v>21</v>
      </c>
      <c r="H19" s="18">
        <v>87</v>
      </c>
      <c r="I19" s="19"/>
      <c r="J19" s="18">
        <v>0</v>
      </c>
      <c r="K19" s="18">
        <v>0</v>
      </c>
      <c r="L19" s="19"/>
      <c r="M19" s="50"/>
      <c r="N19" s="49"/>
      <c r="O19" s="19"/>
      <c r="P19" s="50"/>
      <c r="Q19" s="50"/>
      <c r="R19" s="19"/>
      <c r="S19" s="51"/>
      <c r="T19" s="51"/>
      <c r="U19" s="380"/>
    </row>
    <row r="20" spans="1:21" s="9" customFormat="1" x14ac:dyDescent="0.3">
      <c r="A20" s="477"/>
      <c r="B20" s="385" t="s">
        <v>99</v>
      </c>
      <c r="C20" s="65"/>
      <c r="D20" s="44"/>
      <c r="E20" s="44">
        <f>SUM(E18:E19)</f>
        <v>34</v>
      </c>
      <c r="F20" s="44">
        <f t="shared" ref="F20:K20" si="4">SUM(F18:F19)</f>
        <v>33</v>
      </c>
      <c r="G20" s="44">
        <f t="shared" si="4"/>
        <v>21</v>
      </c>
      <c r="H20" s="44">
        <f t="shared" si="4"/>
        <v>87</v>
      </c>
      <c r="I20" s="45"/>
      <c r="J20" s="44">
        <f t="shared" si="4"/>
        <v>5</v>
      </c>
      <c r="K20" s="44">
        <f t="shared" si="4"/>
        <v>0</v>
      </c>
      <c r="L20" s="45"/>
      <c r="M20" s="266">
        <f>SUM(F20:H20)/3</f>
        <v>47</v>
      </c>
      <c r="N20" s="267">
        <f>(SUM(E20:H20)/43.5)</f>
        <v>4.0229885057471266</v>
      </c>
      <c r="O20" s="31"/>
      <c r="P20" s="266">
        <v>5</v>
      </c>
      <c r="Q20" s="266">
        <v>5</v>
      </c>
      <c r="R20" s="31"/>
      <c r="S20" s="268">
        <f>Q20-(J20+K20)</f>
        <v>0</v>
      </c>
      <c r="T20" s="121"/>
      <c r="U20" s="381"/>
    </row>
    <row r="21" spans="1:21" s="9" customFormat="1" x14ac:dyDescent="0.3">
      <c r="A21" s="477"/>
      <c r="B21" s="59" t="s">
        <v>137</v>
      </c>
      <c r="C21" s="63" t="s">
        <v>137</v>
      </c>
      <c r="D21" s="18">
        <f>17</f>
        <v>17</v>
      </c>
      <c r="E21" s="18">
        <f>72+6</f>
        <v>78</v>
      </c>
      <c r="F21" s="18">
        <v>115</v>
      </c>
      <c r="G21" s="18">
        <v>90</v>
      </c>
      <c r="H21" s="18">
        <v>115</v>
      </c>
      <c r="I21" s="19"/>
      <c r="J21" s="18">
        <v>5</v>
      </c>
      <c r="K21" s="18">
        <v>0</v>
      </c>
      <c r="L21" s="19"/>
      <c r="M21" s="50">
        <f>SUM(E21:G21)/3</f>
        <v>94.333333333333329</v>
      </c>
      <c r="N21" s="49">
        <f>(SUM(D21:G21)/36)</f>
        <v>8.3333333333333339</v>
      </c>
      <c r="O21" s="43"/>
      <c r="P21" s="50">
        <f>N21*1.5</f>
        <v>12.5</v>
      </c>
      <c r="Q21" s="50">
        <f>N21*3</f>
        <v>25</v>
      </c>
      <c r="R21" s="19"/>
      <c r="S21" s="51">
        <f>Q21-(J21+K21)</f>
        <v>20</v>
      </c>
      <c r="T21" s="51">
        <v>20</v>
      </c>
      <c r="U21" s="380" t="s">
        <v>315</v>
      </c>
    </row>
    <row r="22" spans="1:21" s="9" customFormat="1" ht="15" customHeight="1" x14ac:dyDescent="0.3">
      <c r="A22" s="477"/>
      <c r="B22" s="59"/>
      <c r="C22" s="63"/>
      <c r="D22" s="18"/>
      <c r="E22" s="18"/>
      <c r="F22" s="18"/>
      <c r="G22" s="18"/>
      <c r="H22" s="18"/>
      <c r="I22" s="19"/>
      <c r="J22" s="18"/>
      <c r="K22" s="18"/>
      <c r="L22" s="19"/>
      <c r="M22" s="50"/>
      <c r="N22" s="49"/>
      <c r="O22" s="43"/>
      <c r="P22" s="50"/>
      <c r="Q22" s="50"/>
      <c r="R22" s="19"/>
      <c r="S22" s="51"/>
      <c r="T22" s="51"/>
      <c r="U22" s="380"/>
    </row>
    <row r="23" spans="1:21" s="9" customFormat="1" x14ac:dyDescent="0.3">
      <c r="A23" s="477">
        <v>14.01</v>
      </c>
      <c r="B23" s="59" t="s">
        <v>457</v>
      </c>
      <c r="C23" s="63" t="s">
        <v>457</v>
      </c>
      <c r="D23" s="18"/>
      <c r="E23" s="18">
        <v>13</v>
      </c>
      <c r="F23" s="18">
        <v>34</v>
      </c>
      <c r="G23" s="18">
        <v>27</v>
      </c>
      <c r="H23" s="18">
        <v>38</v>
      </c>
      <c r="I23" s="19"/>
      <c r="J23" s="18">
        <v>12</v>
      </c>
      <c r="K23" s="18">
        <v>0</v>
      </c>
      <c r="L23" s="19"/>
      <c r="M23" s="50">
        <f>SUM(E23:G23)/3</f>
        <v>24.666666666666668</v>
      </c>
      <c r="N23" s="49">
        <f>(SUM(D23:G23)/36)</f>
        <v>2.0555555555555554</v>
      </c>
      <c r="O23" s="43"/>
      <c r="P23" s="50">
        <f>N23*1.5</f>
        <v>3.083333333333333</v>
      </c>
      <c r="Q23" s="50">
        <f>N23*3</f>
        <v>6.1666666666666661</v>
      </c>
      <c r="R23" s="19"/>
      <c r="S23" s="51">
        <f>Q23-(J23+K23)</f>
        <v>-5.8333333333333339</v>
      </c>
      <c r="T23" s="51"/>
      <c r="U23" s="677" t="s">
        <v>499</v>
      </c>
    </row>
    <row r="24" spans="1:21" s="9" customFormat="1" x14ac:dyDescent="0.3">
      <c r="A24" s="477"/>
      <c r="B24" s="59"/>
      <c r="C24" s="63"/>
      <c r="D24" s="18"/>
      <c r="E24" s="18"/>
      <c r="F24" s="18"/>
      <c r="G24" s="18"/>
      <c r="H24" s="18"/>
      <c r="I24" s="19"/>
      <c r="J24" s="18"/>
      <c r="K24" s="18"/>
      <c r="L24" s="19"/>
      <c r="M24" s="50"/>
      <c r="N24" s="49"/>
      <c r="O24" s="19"/>
      <c r="P24" s="50"/>
      <c r="Q24" s="50"/>
      <c r="R24" s="19"/>
      <c r="S24" s="51"/>
      <c r="T24" s="51"/>
      <c r="U24" s="380"/>
    </row>
    <row r="25" spans="1:21" s="9" customFormat="1" x14ac:dyDescent="0.3">
      <c r="A25" s="477">
        <v>14.01</v>
      </c>
      <c r="B25" s="59" t="s">
        <v>378</v>
      </c>
      <c r="C25" s="63" t="s">
        <v>378</v>
      </c>
      <c r="D25" s="18">
        <v>3</v>
      </c>
      <c r="E25" s="18">
        <v>12</v>
      </c>
      <c r="F25" s="18">
        <v>19</v>
      </c>
      <c r="G25" s="18">
        <v>24</v>
      </c>
      <c r="H25" s="18">
        <v>37</v>
      </c>
      <c r="I25" s="19"/>
      <c r="J25" s="18">
        <v>2</v>
      </c>
      <c r="K25" s="18">
        <v>0</v>
      </c>
      <c r="L25" s="19"/>
      <c r="M25" s="50">
        <f>SUM(E25:G25)/3</f>
        <v>18.333333333333332</v>
      </c>
      <c r="N25" s="49">
        <f>(SUM(D25:G25)/36)</f>
        <v>1.6111111111111112</v>
      </c>
      <c r="O25" s="43"/>
      <c r="P25" s="50">
        <f>N25*1.5</f>
        <v>2.416666666666667</v>
      </c>
      <c r="Q25" s="50">
        <f>N25*2.5</f>
        <v>4.0277777777777777</v>
      </c>
      <c r="R25" s="19"/>
      <c r="S25" s="51">
        <f>Q25-(J25+K25)</f>
        <v>2.0277777777777777</v>
      </c>
      <c r="T25" s="51">
        <v>2</v>
      </c>
      <c r="U25" s="380" t="s">
        <v>466</v>
      </c>
    </row>
    <row r="26" spans="1:21" s="9" customFormat="1" x14ac:dyDescent="0.3">
      <c r="A26" s="477"/>
      <c r="B26" s="59"/>
      <c r="C26" s="63"/>
      <c r="D26" s="18"/>
      <c r="E26" s="18"/>
      <c r="F26" s="18"/>
      <c r="G26" s="18"/>
      <c r="H26" s="18"/>
      <c r="I26" s="19"/>
      <c r="J26" s="18"/>
      <c r="K26" s="18"/>
      <c r="L26" s="19"/>
      <c r="M26" s="123"/>
      <c r="N26" s="49"/>
      <c r="O26" s="43"/>
      <c r="P26" s="50"/>
      <c r="Q26" s="50"/>
      <c r="R26" s="19"/>
      <c r="S26" s="51"/>
      <c r="T26" s="51"/>
      <c r="U26" s="380"/>
    </row>
    <row r="27" spans="1:21" s="9" customFormat="1" x14ac:dyDescent="0.3">
      <c r="A27" s="477">
        <v>28.01</v>
      </c>
      <c r="B27" s="59" t="s">
        <v>493</v>
      </c>
      <c r="C27" s="63" t="s">
        <v>493</v>
      </c>
      <c r="D27" s="18">
        <v>0</v>
      </c>
      <c r="E27" s="18">
        <v>1</v>
      </c>
      <c r="F27" s="18">
        <v>3</v>
      </c>
      <c r="G27" s="18">
        <v>3</v>
      </c>
      <c r="H27" s="18">
        <v>4</v>
      </c>
      <c r="I27" s="19"/>
      <c r="J27" s="18">
        <v>2</v>
      </c>
      <c r="K27" s="18">
        <v>0</v>
      </c>
      <c r="L27" s="19"/>
      <c r="M27" s="50">
        <f>SUM(E27:G27)/3</f>
        <v>2.3333333333333335</v>
      </c>
      <c r="N27" s="49">
        <f>(SUM(D27:G27)/37)</f>
        <v>0.1891891891891892</v>
      </c>
      <c r="O27" s="43"/>
      <c r="P27" s="50">
        <f>N27*1.5</f>
        <v>0.28378378378378377</v>
      </c>
      <c r="Q27" s="50">
        <f>N27*2.5</f>
        <v>0.47297297297297303</v>
      </c>
      <c r="R27" s="19"/>
      <c r="S27" s="51">
        <f>Q27-(J27+K27)</f>
        <v>-1.527027027027027</v>
      </c>
      <c r="T27" s="51"/>
      <c r="U27" s="380" t="s">
        <v>494</v>
      </c>
    </row>
    <row r="28" spans="1:21" s="9" customFormat="1" x14ac:dyDescent="0.3">
      <c r="A28" s="477"/>
      <c r="B28" s="59"/>
      <c r="C28" s="63"/>
      <c r="D28" s="18"/>
      <c r="E28" s="18"/>
      <c r="F28" s="18"/>
      <c r="G28" s="18"/>
      <c r="H28" s="18"/>
      <c r="I28" s="19"/>
      <c r="J28" s="18"/>
      <c r="K28" s="18"/>
      <c r="L28" s="19"/>
      <c r="M28" s="50"/>
      <c r="N28" s="49"/>
      <c r="O28" s="43"/>
      <c r="P28" s="50"/>
      <c r="Q28" s="50"/>
      <c r="R28" s="19"/>
      <c r="S28" s="51"/>
      <c r="T28" s="51"/>
      <c r="U28" s="380"/>
    </row>
    <row r="29" spans="1:21" s="9" customFormat="1" x14ac:dyDescent="0.3">
      <c r="A29" s="477"/>
      <c r="B29" s="595" t="s">
        <v>356</v>
      </c>
      <c r="C29" s="596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9"/>
      <c r="O29" s="600"/>
      <c r="P29" s="601"/>
      <c r="Q29" s="601"/>
      <c r="R29" s="597"/>
      <c r="S29" s="602"/>
      <c r="T29" s="602"/>
      <c r="U29" s="603"/>
    </row>
    <row r="30" spans="1:21" s="9" customFormat="1" x14ac:dyDescent="0.3">
      <c r="A30" s="477"/>
      <c r="B30" s="59"/>
      <c r="C30" s="63"/>
      <c r="D30" s="18"/>
      <c r="E30" s="18"/>
      <c r="F30" s="18"/>
      <c r="G30" s="18"/>
      <c r="H30" s="18"/>
      <c r="I30" s="19"/>
      <c r="J30" s="18"/>
      <c r="K30" s="18"/>
      <c r="L30" s="19"/>
      <c r="M30" s="50"/>
      <c r="N30" s="49"/>
      <c r="O30" s="19"/>
      <c r="P30" s="50"/>
      <c r="Q30" s="50"/>
      <c r="R30" s="19"/>
      <c r="S30" s="51"/>
      <c r="T30" s="51"/>
      <c r="U30" s="380"/>
    </row>
    <row r="31" spans="1:21" s="191" customFormat="1" ht="43.2" x14ac:dyDescent="0.3">
      <c r="A31" s="504">
        <v>25.02</v>
      </c>
      <c r="B31" s="202" t="s">
        <v>415</v>
      </c>
      <c r="C31" s="203" t="s">
        <v>93</v>
      </c>
      <c r="D31" s="194">
        <f>5+15</f>
        <v>20</v>
      </c>
      <c r="E31" s="194">
        <v>64</v>
      </c>
      <c r="F31" s="194">
        <v>115</v>
      </c>
      <c r="G31" s="194">
        <v>135</v>
      </c>
      <c r="H31" s="194">
        <v>10</v>
      </c>
      <c r="I31" s="193"/>
      <c r="J31" s="194">
        <v>7</v>
      </c>
      <c r="K31" s="194">
        <v>0</v>
      </c>
      <c r="L31" s="193"/>
      <c r="M31" s="195">
        <f>SUM(E31:G31)/3</f>
        <v>104.66666666666667</v>
      </c>
      <c r="N31" s="196">
        <f>(SUM(D31:G31)/37.5)</f>
        <v>8.9066666666666663</v>
      </c>
      <c r="O31" s="193"/>
      <c r="P31" s="195">
        <f>N31*1.5</f>
        <v>13.36</v>
      </c>
      <c r="Q31" s="195">
        <f>N31*2.5</f>
        <v>22.266666666666666</v>
      </c>
      <c r="R31" s="193"/>
      <c r="S31" s="197">
        <f>Q31-(J31+K31)</f>
        <v>15.266666666666666</v>
      </c>
      <c r="T31" s="689">
        <v>7</v>
      </c>
      <c r="U31" s="505" t="s">
        <v>384</v>
      </c>
    </row>
    <row r="32" spans="1:21" s="9" customFormat="1" x14ac:dyDescent="0.3">
      <c r="A32" s="477"/>
      <c r="B32" s="59"/>
      <c r="C32" s="63"/>
      <c r="D32" s="18"/>
      <c r="E32" s="18"/>
      <c r="F32" s="18"/>
      <c r="G32" s="18"/>
      <c r="H32" s="18"/>
      <c r="I32" s="19"/>
      <c r="J32" s="18"/>
      <c r="K32" s="18"/>
      <c r="L32" s="19"/>
      <c r="M32" s="50"/>
      <c r="N32" s="49"/>
      <c r="O32" s="19"/>
      <c r="P32" s="50"/>
      <c r="Q32" s="50"/>
      <c r="R32" s="19"/>
      <c r="S32" s="51"/>
      <c r="T32" s="51"/>
      <c r="U32" s="380"/>
    </row>
    <row r="33" spans="1:21" s="9" customFormat="1" x14ac:dyDescent="0.3">
      <c r="A33" s="477"/>
      <c r="B33" s="59"/>
      <c r="C33" s="63"/>
      <c r="D33" s="18"/>
      <c r="E33" s="18"/>
      <c r="F33" s="18"/>
      <c r="G33" s="18"/>
      <c r="H33" s="18"/>
      <c r="I33" s="19"/>
      <c r="J33" s="18"/>
      <c r="K33" s="18"/>
      <c r="L33" s="19"/>
      <c r="M33" s="50"/>
      <c r="N33" s="49"/>
      <c r="O33" s="19"/>
      <c r="P33" s="50"/>
      <c r="Q33" s="50"/>
      <c r="R33" s="19"/>
      <c r="S33" s="51"/>
      <c r="T33" s="51"/>
      <c r="U33" s="380"/>
    </row>
    <row r="34" spans="1:21" s="9" customFormat="1" x14ac:dyDescent="0.3">
      <c r="A34" s="477"/>
      <c r="B34" s="59"/>
      <c r="C34" s="63"/>
      <c r="D34" s="18"/>
      <c r="E34" s="18"/>
      <c r="F34" s="18"/>
      <c r="G34" s="18"/>
      <c r="H34" s="18"/>
      <c r="I34" s="19"/>
      <c r="J34" s="18"/>
      <c r="K34" s="18"/>
      <c r="L34" s="19"/>
      <c r="M34" s="50"/>
      <c r="N34" s="49"/>
      <c r="O34" s="19"/>
      <c r="P34" s="50"/>
      <c r="Q34" s="50"/>
      <c r="R34" s="19"/>
      <c r="S34" s="51"/>
      <c r="T34" s="51"/>
      <c r="U34" s="380"/>
    </row>
    <row r="35" spans="1:21" s="9" customFormat="1" x14ac:dyDescent="0.3">
      <c r="A35" s="477"/>
      <c r="B35" s="59"/>
      <c r="C35" s="63"/>
      <c r="D35" s="18"/>
      <c r="E35" s="18"/>
      <c r="F35" s="18"/>
      <c r="G35" s="18"/>
      <c r="H35" s="18"/>
      <c r="I35" s="19"/>
      <c r="J35" s="18"/>
      <c r="K35" s="18"/>
      <c r="L35" s="19"/>
      <c r="M35" s="50"/>
      <c r="N35" s="49"/>
      <c r="O35" s="19"/>
      <c r="P35" s="50"/>
      <c r="Q35" s="50"/>
      <c r="R35" s="19"/>
      <c r="S35" s="51"/>
      <c r="T35" s="51"/>
      <c r="U35" s="380"/>
    </row>
    <row r="36" spans="1:21" s="9" customFormat="1" x14ac:dyDescent="0.3">
      <c r="A36" s="477"/>
      <c r="B36" s="59"/>
      <c r="C36" s="63"/>
      <c r="D36" s="18"/>
      <c r="E36" s="18"/>
      <c r="F36" s="18"/>
      <c r="G36" s="18"/>
      <c r="H36" s="18"/>
      <c r="I36" s="19"/>
      <c r="J36" s="18"/>
      <c r="K36" s="18"/>
      <c r="L36" s="19"/>
      <c r="M36" s="50"/>
      <c r="N36" s="49"/>
      <c r="O36" s="19"/>
      <c r="P36" s="50"/>
      <c r="Q36" s="50"/>
      <c r="R36" s="19"/>
      <c r="S36" s="51"/>
      <c r="T36" s="51"/>
      <c r="U36" s="380"/>
    </row>
    <row r="37" spans="1:21" s="9" customFormat="1" x14ac:dyDescent="0.3">
      <c r="A37" s="477"/>
      <c r="B37" s="59"/>
      <c r="C37" s="63"/>
      <c r="D37" s="18"/>
      <c r="E37" s="18"/>
      <c r="F37" s="18"/>
      <c r="G37" s="18"/>
      <c r="H37" s="18"/>
      <c r="I37" s="19"/>
      <c r="J37" s="18"/>
      <c r="K37" s="18"/>
      <c r="L37" s="19"/>
      <c r="M37" s="50"/>
      <c r="N37" s="49"/>
      <c r="O37" s="19"/>
      <c r="P37" s="50"/>
      <c r="Q37" s="50"/>
      <c r="R37" s="19"/>
      <c r="S37" s="51"/>
      <c r="T37" s="51"/>
      <c r="U37" s="380"/>
    </row>
    <row r="38" spans="1:21" s="9" customFormat="1" x14ac:dyDescent="0.3">
      <c r="A38" s="477"/>
      <c r="B38" s="59"/>
      <c r="C38" s="63"/>
      <c r="D38" s="18"/>
      <c r="E38" s="18"/>
      <c r="F38" s="18"/>
      <c r="G38" s="18"/>
      <c r="H38" s="18"/>
      <c r="I38" s="19"/>
      <c r="J38" s="18"/>
      <c r="K38" s="18"/>
      <c r="L38" s="19"/>
      <c r="M38" s="50"/>
      <c r="N38" s="49"/>
      <c r="O38" s="19"/>
      <c r="P38" s="50"/>
      <c r="Q38" s="50"/>
      <c r="R38" s="19"/>
      <c r="S38" s="51"/>
      <c r="T38" s="51"/>
      <c r="U38" s="380"/>
    </row>
    <row r="39" spans="1:21" s="9" customFormat="1" x14ac:dyDescent="0.3">
      <c r="A39" s="477"/>
      <c r="B39" s="59"/>
      <c r="C39" s="63"/>
      <c r="D39" s="18"/>
      <c r="E39" s="18"/>
      <c r="F39" s="18"/>
      <c r="G39" s="18"/>
      <c r="H39" s="18"/>
      <c r="I39" s="19"/>
      <c r="J39" s="18"/>
      <c r="K39" s="18"/>
      <c r="L39" s="19"/>
      <c r="M39" s="50"/>
      <c r="N39" s="49"/>
      <c r="O39" s="19"/>
      <c r="P39" s="50"/>
      <c r="Q39" s="50"/>
      <c r="R39" s="19"/>
      <c r="S39" s="51"/>
      <c r="T39" s="51"/>
      <c r="U39" s="380"/>
    </row>
    <row r="40" spans="1:21" s="9" customFormat="1" x14ac:dyDescent="0.3">
      <c r="A40" s="477"/>
      <c r="B40" s="59"/>
      <c r="C40" s="63"/>
      <c r="D40" s="18"/>
      <c r="E40" s="18"/>
      <c r="F40" s="18"/>
      <c r="G40" s="18"/>
      <c r="H40" s="18"/>
      <c r="I40" s="19"/>
      <c r="J40" s="18"/>
      <c r="K40" s="18"/>
      <c r="L40" s="19"/>
      <c r="M40" s="50"/>
      <c r="N40" s="49"/>
      <c r="O40" s="19"/>
      <c r="P40" s="50"/>
      <c r="Q40" s="50"/>
      <c r="R40" s="19"/>
      <c r="S40" s="51"/>
      <c r="T40" s="51"/>
      <c r="U40" s="380"/>
    </row>
    <row r="41" spans="1:21" s="9" customFormat="1" x14ac:dyDescent="0.3">
      <c r="A41" s="477"/>
      <c r="B41" s="59"/>
      <c r="C41" s="63"/>
      <c r="D41" s="18"/>
      <c r="E41" s="18"/>
      <c r="F41" s="18"/>
      <c r="G41" s="18"/>
      <c r="H41" s="18"/>
      <c r="I41" s="19"/>
      <c r="J41" s="18"/>
      <c r="K41" s="18"/>
      <c r="L41" s="19"/>
      <c r="M41" s="50"/>
      <c r="N41" s="49"/>
      <c r="O41" s="19"/>
      <c r="P41" s="50"/>
      <c r="Q41" s="50"/>
      <c r="R41" s="19"/>
      <c r="S41" s="51"/>
      <c r="T41" s="51"/>
      <c r="U41" s="380"/>
    </row>
    <row r="42" spans="1:21" s="9" customFormat="1" x14ac:dyDescent="0.3">
      <c r="A42" s="477"/>
      <c r="B42" s="60"/>
      <c r="C42" s="65"/>
      <c r="D42" s="44"/>
      <c r="E42" s="44"/>
      <c r="F42" s="44"/>
      <c r="G42" s="44"/>
      <c r="H42" s="44"/>
      <c r="I42" s="45"/>
      <c r="J42" s="44"/>
      <c r="K42" s="44"/>
      <c r="L42" s="45"/>
      <c r="M42" s="44"/>
      <c r="N42" s="44"/>
      <c r="O42" s="45"/>
      <c r="P42" s="44"/>
      <c r="Q42" s="44"/>
      <c r="R42" s="45"/>
      <c r="S42" s="46"/>
      <c r="T42" s="46"/>
      <c r="U42" s="381"/>
    </row>
    <row r="44" spans="1:21" x14ac:dyDescent="0.3">
      <c r="B44" s="1"/>
      <c r="C44" s="1"/>
    </row>
    <row r="45" spans="1:21" x14ac:dyDescent="0.3">
      <c r="B45" s="1"/>
      <c r="C45" s="1"/>
    </row>
    <row r="46" spans="1:21" x14ac:dyDescent="0.3">
      <c r="B46" s="1"/>
      <c r="C46" s="1"/>
    </row>
    <row r="47" spans="1:21" x14ac:dyDescent="0.3">
      <c r="B47" s="1"/>
      <c r="C47" s="1"/>
    </row>
    <row r="48" spans="1:21" x14ac:dyDescent="0.3">
      <c r="B48" s="1"/>
      <c r="C48" s="1"/>
    </row>
    <row r="49" spans="1:21" x14ac:dyDescent="0.3">
      <c r="B49" s="1"/>
      <c r="C49" s="1"/>
    </row>
    <row r="50" spans="1:21" x14ac:dyDescent="0.3">
      <c r="B50" s="1"/>
      <c r="C50" s="1"/>
    </row>
    <row r="51" spans="1:21" x14ac:dyDescent="0.3">
      <c r="B51" s="1"/>
      <c r="C51" s="1"/>
    </row>
    <row r="52" spans="1:21" x14ac:dyDescent="0.3">
      <c r="B52" s="1"/>
      <c r="C52" s="1"/>
    </row>
    <row r="53" spans="1:21" x14ac:dyDescent="0.3">
      <c r="B53" s="1"/>
      <c r="C53" s="1"/>
    </row>
    <row r="54" spans="1:21" x14ac:dyDescent="0.3">
      <c r="B54" s="1"/>
      <c r="C54" s="1"/>
    </row>
    <row r="55" spans="1:21" x14ac:dyDescent="0.3">
      <c r="B55" s="1"/>
      <c r="C55" s="1"/>
    </row>
    <row r="56" spans="1:21" x14ac:dyDescent="0.3">
      <c r="B56" s="1"/>
      <c r="C56" s="1"/>
    </row>
    <row r="57" spans="1:21" x14ac:dyDescent="0.3">
      <c r="B57" s="1"/>
      <c r="C57" s="1"/>
    </row>
    <row r="58" spans="1:21" x14ac:dyDescent="0.3">
      <c r="B58" s="1"/>
      <c r="C58" s="1"/>
    </row>
    <row r="59" spans="1:21" s="158" customFormat="1" x14ac:dyDescent="0.3">
      <c r="A59" s="478"/>
      <c r="U59" s="382"/>
    </row>
    <row r="60" spans="1:21" x14ac:dyDescent="0.3">
      <c r="B60" s="1"/>
      <c r="C60" s="1"/>
    </row>
    <row r="61" spans="1:21" x14ac:dyDescent="0.3">
      <c r="B61" s="1"/>
      <c r="C61" s="1"/>
    </row>
    <row r="62" spans="1:21" x14ac:dyDescent="0.3">
      <c r="B62" s="1"/>
      <c r="C62" s="1"/>
    </row>
    <row r="63" spans="1:21" x14ac:dyDescent="0.3">
      <c r="B63" s="1"/>
      <c r="C63" s="1"/>
    </row>
    <row r="64" spans="1:21" x14ac:dyDescent="0.3">
      <c r="B64" s="1"/>
      <c r="C64" s="1"/>
    </row>
    <row r="65" spans="2:3" x14ac:dyDescent="0.3">
      <c r="B65" s="1"/>
      <c r="C65" s="1"/>
    </row>
    <row r="66" spans="2:3" x14ac:dyDescent="0.3">
      <c r="B66" s="1"/>
      <c r="C66" s="1"/>
    </row>
    <row r="67" spans="2:3" x14ac:dyDescent="0.3">
      <c r="B67" s="1"/>
      <c r="C67" s="1"/>
    </row>
    <row r="68" spans="2:3" x14ac:dyDescent="0.3">
      <c r="B68" s="1"/>
      <c r="C68" s="1"/>
    </row>
    <row r="69" spans="2:3" x14ac:dyDescent="0.3">
      <c r="B69" s="1"/>
      <c r="C69" s="1"/>
    </row>
    <row r="70" spans="2:3" x14ac:dyDescent="0.3">
      <c r="B70" s="1"/>
      <c r="C70" s="1"/>
    </row>
    <row r="71" spans="2:3" x14ac:dyDescent="0.3">
      <c r="B71" s="1"/>
      <c r="C71" s="1"/>
    </row>
    <row r="72" spans="2:3" x14ac:dyDescent="0.3">
      <c r="B72" s="1"/>
      <c r="C72" s="1"/>
    </row>
    <row r="73" spans="2:3" x14ac:dyDescent="0.3">
      <c r="B73" s="1"/>
      <c r="C73" s="1"/>
    </row>
  </sheetData>
  <mergeCells count="15">
    <mergeCell ref="L5:L6"/>
    <mergeCell ref="B5:C5"/>
    <mergeCell ref="I5:I6"/>
    <mergeCell ref="J5:J6"/>
    <mergeCell ref="K5:K6"/>
    <mergeCell ref="D5:H5"/>
    <mergeCell ref="P5:P6"/>
    <mergeCell ref="U5:U6"/>
    <mergeCell ref="M5:M6"/>
    <mergeCell ref="N5:N6"/>
    <mergeCell ref="O5:O6"/>
    <mergeCell ref="Q5:Q6"/>
    <mergeCell ref="R5:R6"/>
    <mergeCell ref="S5:S6"/>
    <mergeCell ref="T5:T6"/>
  </mergeCells>
  <pageMargins left="0.7" right="0.7" top="0.75" bottom="0.75" header="0.3" footer="0.3"/>
  <pageSetup paperSize="9" scale="75" orientation="landscape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C145-2C3E-4D24-ADFF-249C0C16B6A2}">
  <sheetPr>
    <tabColor rgb="FF7030A0"/>
  </sheetPr>
  <dimension ref="A2:EZ27"/>
  <sheetViews>
    <sheetView zoomScale="90" zoomScaleNormal="90" zoomScaleSheetLayoutView="96" workbookViewId="0">
      <selection activeCell="K6" sqref="K6"/>
    </sheetView>
  </sheetViews>
  <sheetFormatPr baseColWidth="10" defaultRowHeight="14.4" x14ac:dyDescent="0.3"/>
  <cols>
    <col min="1" max="1" width="4.77734375" style="476" bestFit="1" customWidth="1"/>
    <col min="2" max="2" width="23" style="1" customWidth="1"/>
    <col min="3" max="3" width="18.44140625" style="1" customWidth="1"/>
    <col min="4" max="8" width="8.6640625" style="1" customWidth="1"/>
    <col min="9" max="9" width="1" style="1" customWidth="1"/>
    <col min="10" max="10" width="10.21875" style="1" bestFit="1" customWidth="1"/>
    <col min="11" max="11" width="6.33203125" style="1" bestFit="1" customWidth="1"/>
    <col min="12" max="12" width="0.88671875" style="1" customWidth="1"/>
    <col min="13" max="14" width="10.88671875" style="1" customWidth="1"/>
    <col min="15" max="15" width="1.5546875" style="1" customWidth="1"/>
    <col min="16" max="17" width="17.88671875" style="1" customWidth="1"/>
    <col min="18" max="18" width="1.5546875" style="1" customWidth="1"/>
    <col min="19" max="19" width="8.6640625" style="1" customWidth="1"/>
    <col min="20" max="20" width="46.6640625" style="1" bestFit="1" customWidth="1"/>
    <col min="21" max="16384" width="11.5546875" style="1"/>
  </cols>
  <sheetData>
    <row r="2" spans="1:156" x14ac:dyDescent="0.3">
      <c r="B2" s="1" t="s">
        <v>372</v>
      </c>
      <c r="C2" s="216">
        <v>45615</v>
      </c>
    </row>
    <row r="3" spans="1:156" customFormat="1" x14ac:dyDescent="0.3">
      <c r="A3" s="476"/>
      <c r="B3" s="741" t="s">
        <v>98</v>
      </c>
      <c r="C3" s="742"/>
      <c r="D3" s="721" t="s">
        <v>54</v>
      </c>
      <c r="E3" s="722"/>
      <c r="F3" s="722"/>
      <c r="G3" s="722"/>
      <c r="H3" s="723"/>
      <c r="I3" s="712"/>
      <c r="J3" s="720" t="s">
        <v>3</v>
      </c>
      <c r="K3" s="720" t="s">
        <v>57</v>
      </c>
      <c r="L3" s="712"/>
      <c r="M3" s="710" t="s">
        <v>446</v>
      </c>
      <c r="N3" s="710" t="s">
        <v>447</v>
      </c>
      <c r="O3" s="712"/>
      <c r="P3" s="710" t="s">
        <v>271</v>
      </c>
      <c r="Q3" s="710" t="s">
        <v>526</v>
      </c>
      <c r="R3" s="712"/>
      <c r="S3" s="716" t="s">
        <v>370</v>
      </c>
      <c r="T3" s="716" t="s">
        <v>162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</row>
    <row r="4" spans="1:156" customFormat="1" ht="13.8" customHeight="1" x14ac:dyDescent="0.3">
      <c r="A4" s="476"/>
      <c r="B4" s="66" t="s">
        <v>56</v>
      </c>
      <c r="C4" s="67" t="s">
        <v>55</v>
      </c>
      <c r="D4" s="68">
        <v>2025</v>
      </c>
      <c r="E4" s="68">
        <v>2024</v>
      </c>
      <c r="F4" s="68">
        <v>2023</v>
      </c>
      <c r="G4" s="68">
        <v>2022</v>
      </c>
      <c r="H4" s="68">
        <v>2021</v>
      </c>
      <c r="I4" s="713"/>
      <c r="J4" s="711"/>
      <c r="K4" s="711"/>
      <c r="L4" s="713"/>
      <c r="M4" s="711"/>
      <c r="N4" s="711"/>
      <c r="O4" s="713"/>
      <c r="P4" s="711"/>
      <c r="Q4" s="711"/>
      <c r="R4" s="713"/>
      <c r="S4" s="715"/>
      <c r="T4" s="717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</row>
    <row r="5" spans="1:156" ht="6.6" customHeight="1" x14ac:dyDescent="0.3">
      <c r="B5" s="219"/>
      <c r="C5" s="219"/>
      <c r="D5" s="220"/>
      <c r="E5" s="220"/>
      <c r="F5" s="220"/>
      <c r="G5" s="220"/>
      <c r="H5" s="220"/>
      <c r="I5" s="248"/>
      <c r="J5" s="220"/>
      <c r="K5" s="220"/>
      <c r="L5" s="248"/>
      <c r="M5" s="222"/>
      <c r="N5" s="223"/>
      <c r="O5" s="248"/>
      <c r="P5" s="222"/>
      <c r="Q5" s="222"/>
      <c r="R5" s="248"/>
      <c r="S5" s="222"/>
      <c r="T5" s="315"/>
    </row>
    <row r="6" spans="1:156" customFormat="1" ht="28.8" x14ac:dyDescent="0.3">
      <c r="A6" s="476"/>
      <c r="B6" s="58" t="s">
        <v>412</v>
      </c>
      <c r="C6" s="62" t="s">
        <v>367</v>
      </c>
      <c r="D6" s="6">
        <f>6+9</f>
        <v>15</v>
      </c>
      <c r="E6" s="6">
        <f>2+17</f>
        <v>19</v>
      </c>
      <c r="F6" s="6"/>
      <c r="G6" s="6"/>
      <c r="H6" s="6"/>
      <c r="I6" s="7"/>
      <c r="J6" s="6">
        <v>-8</v>
      </c>
      <c r="K6" s="691">
        <v>12</v>
      </c>
      <c r="L6" s="7"/>
      <c r="M6" s="8"/>
      <c r="N6" s="47"/>
      <c r="O6" s="7"/>
      <c r="P6" s="8"/>
      <c r="Q6" s="8"/>
      <c r="R6" s="7"/>
      <c r="S6" s="48"/>
      <c r="T6" s="434" t="s">
        <v>369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</row>
    <row r="7" spans="1:156" customFormat="1" ht="28.8" x14ac:dyDescent="0.3">
      <c r="A7" s="476"/>
      <c r="B7" s="496" t="s">
        <v>265</v>
      </c>
      <c r="C7" s="497" t="s">
        <v>266</v>
      </c>
      <c r="D7" s="45"/>
      <c r="E7" s="45">
        <f>2+14</f>
        <v>16</v>
      </c>
      <c r="F7" s="45"/>
      <c r="G7" s="45"/>
      <c r="H7" s="45"/>
      <c r="I7" s="45"/>
      <c r="J7" s="45">
        <v>0</v>
      </c>
      <c r="K7" s="45">
        <v>0</v>
      </c>
      <c r="L7" s="45"/>
      <c r="M7" s="498"/>
      <c r="N7" s="499"/>
      <c r="O7" s="45"/>
      <c r="P7" s="500"/>
      <c r="Q7" s="500"/>
      <c r="R7" s="45"/>
      <c r="S7" s="501"/>
      <c r="T7" s="502" t="s">
        <v>410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</row>
    <row r="8" spans="1:156" customFormat="1" x14ac:dyDescent="0.3">
      <c r="A8" s="476">
        <v>3.03</v>
      </c>
      <c r="B8" s="257" t="s">
        <v>99</v>
      </c>
      <c r="C8" s="258"/>
      <c r="D8" s="259">
        <f>SUM(D6:D7)</f>
        <v>15</v>
      </c>
      <c r="E8" s="259">
        <f>SUM(E6:E7)</f>
        <v>35</v>
      </c>
      <c r="F8" s="259">
        <f>SUM(F6:F7)</f>
        <v>0</v>
      </c>
      <c r="G8" s="259">
        <f>SUM(G6:G7)</f>
        <v>0</v>
      </c>
      <c r="H8" s="259">
        <f>SUM(H6:H7)</f>
        <v>0</v>
      </c>
      <c r="I8" s="31"/>
      <c r="J8" s="259">
        <f>SUM(J6:J7)</f>
        <v>-8</v>
      </c>
      <c r="K8" s="259">
        <f>SUM(K6:K7)</f>
        <v>12</v>
      </c>
      <c r="L8" s="31"/>
      <c r="M8" s="260"/>
      <c r="N8" s="261">
        <f>SUM(D8:E8)/12</f>
        <v>4.166666666666667</v>
      </c>
      <c r="O8" s="31"/>
      <c r="P8" s="260">
        <f>N8*1.5</f>
        <v>6.25</v>
      </c>
      <c r="Q8" s="260">
        <f>N8*2</f>
        <v>8.3333333333333339</v>
      </c>
      <c r="R8" s="31"/>
      <c r="S8" s="262">
        <f>Q8-(J8+K8)</f>
        <v>4.3333333333333339</v>
      </c>
      <c r="T8" s="503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</row>
    <row r="9" spans="1:156" ht="6.6" customHeight="1" x14ac:dyDescent="0.3">
      <c r="B9" s="219"/>
      <c r="C9" s="219"/>
      <c r="D9" s="220"/>
      <c r="E9" s="220"/>
      <c r="F9" s="220"/>
      <c r="G9" s="220"/>
      <c r="H9" s="220"/>
      <c r="I9" s="248"/>
      <c r="J9" s="220"/>
      <c r="K9" s="220"/>
      <c r="L9" s="248"/>
      <c r="M9" s="222"/>
      <c r="N9" s="223"/>
      <c r="O9" s="248"/>
      <c r="P9" s="222"/>
      <c r="Q9" s="222"/>
      <c r="R9" s="248"/>
      <c r="S9" s="222"/>
      <c r="T9" s="315"/>
    </row>
    <row r="10" spans="1:156" customFormat="1" ht="28.8" x14ac:dyDescent="0.3">
      <c r="A10" s="476">
        <v>3.03</v>
      </c>
      <c r="B10" s="58" t="s">
        <v>411</v>
      </c>
      <c r="C10" s="62" t="s">
        <v>96</v>
      </c>
      <c r="D10" s="6">
        <v>3</v>
      </c>
      <c r="E10" s="6">
        <v>37</v>
      </c>
      <c r="F10" s="6">
        <v>68</v>
      </c>
      <c r="G10" s="6">
        <v>45</v>
      </c>
      <c r="H10" s="6">
        <v>123</v>
      </c>
      <c r="I10" s="7"/>
      <c r="J10" s="6">
        <v>4</v>
      </c>
      <c r="K10" s="691">
        <v>4</v>
      </c>
      <c r="L10" s="7"/>
      <c r="M10" s="70"/>
      <c r="N10" s="71"/>
      <c r="O10" s="72"/>
      <c r="P10" s="70"/>
      <c r="Q10" s="70"/>
      <c r="R10" s="72"/>
      <c r="S10" s="73"/>
      <c r="T10" s="53" t="s">
        <v>347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</row>
    <row r="11" spans="1:156" customFormat="1" ht="28.8" x14ac:dyDescent="0.3">
      <c r="A11" s="476">
        <v>3.03</v>
      </c>
      <c r="B11" s="264" t="s">
        <v>368</v>
      </c>
      <c r="C11" s="265" t="s">
        <v>97</v>
      </c>
      <c r="D11" s="32">
        <v>0</v>
      </c>
      <c r="E11" s="32">
        <v>25</v>
      </c>
      <c r="F11" s="32">
        <v>0</v>
      </c>
      <c r="G11" s="32">
        <v>0</v>
      </c>
      <c r="H11" s="32">
        <v>0</v>
      </c>
      <c r="I11" s="31"/>
      <c r="J11" s="32">
        <v>14</v>
      </c>
      <c r="K11" s="32">
        <v>0</v>
      </c>
      <c r="L11" s="31"/>
      <c r="M11" s="266"/>
      <c r="N11" s="267"/>
      <c r="O11" s="31"/>
      <c r="P11" s="266"/>
      <c r="Q11" s="266"/>
      <c r="R11" s="31"/>
      <c r="S11" s="268"/>
      <c r="T11" s="269" t="s">
        <v>348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</row>
    <row r="12" spans="1:156" customFormat="1" x14ac:dyDescent="0.3">
      <c r="A12" s="476"/>
      <c r="B12" s="257" t="s">
        <v>99</v>
      </c>
      <c r="C12" s="258"/>
      <c r="D12" s="259">
        <f>SUM(D10:D11)</f>
        <v>3</v>
      </c>
      <c r="E12" s="259">
        <f>SUM(E10:E11)</f>
        <v>62</v>
      </c>
      <c r="F12" s="259">
        <f>SUM(F10:F11)</f>
        <v>68</v>
      </c>
      <c r="G12" s="259">
        <f>SUM(G10:G11)</f>
        <v>45</v>
      </c>
      <c r="H12" s="259">
        <f>SUM(H10:H11)</f>
        <v>123</v>
      </c>
      <c r="I12" s="31"/>
      <c r="J12" s="259">
        <f>SUM(J10:J11)</f>
        <v>18</v>
      </c>
      <c r="K12" s="259">
        <f>SUM(K10:K11)</f>
        <v>4</v>
      </c>
      <c r="L12" s="31"/>
      <c r="M12" s="260">
        <f>SUM(E12:G12)/3</f>
        <v>58.333333333333336</v>
      </c>
      <c r="N12" s="261">
        <f>(SUM(D12:G12)/38)</f>
        <v>4.6842105263157894</v>
      </c>
      <c r="O12" s="31"/>
      <c r="P12" s="260">
        <f>N12*1.5</f>
        <v>7.0263157894736841</v>
      </c>
      <c r="Q12" s="260">
        <f>N12*2</f>
        <v>9.3684210526315788</v>
      </c>
      <c r="R12" s="31"/>
      <c r="S12" s="262">
        <f>Q12-(J12+K12)</f>
        <v>-12.631578947368421</v>
      </c>
      <c r="T12" s="503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</row>
    <row r="13" spans="1:156" ht="6.6" customHeight="1" x14ac:dyDescent="0.3">
      <c r="B13" s="219"/>
      <c r="C13" s="219"/>
      <c r="D13" s="220"/>
      <c r="E13" s="220"/>
      <c r="F13" s="220"/>
      <c r="G13" s="220"/>
      <c r="H13" s="220"/>
      <c r="I13" s="248"/>
      <c r="J13" s="220"/>
      <c r="K13" s="220"/>
      <c r="L13" s="248"/>
      <c r="M13" s="222"/>
      <c r="N13" s="223"/>
      <c r="O13" s="248"/>
      <c r="P13" s="222"/>
      <c r="Q13" s="222"/>
      <c r="R13" s="248"/>
      <c r="S13" s="222"/>
      <c r="T13" s="315"/>
    </row>
    <row r="14" spans="1:156" customFormat="1" ht="28.8" x14ac:dyDescent="0.3">
      <c r="A14" s="476">
        <v>25.02</v>
      </c>
      <c r="B14" s="58" t="s">
        <v>503</v>
      </c>
      <c r="C14" s="62" t="s">
        <v>413</v>
      </c>
      <c r="D14" s="6"/>
      <c r="E14" s="6">
        <f>15+9</f>
        <v>24</v>
      </c>
      <c r="F14" s="6">
        <v>13</v>
      </c>
      <c r="G14" s="6">
        <v>2</v>
      </c>
      <c r="H14" s="6">
        <v>0</v>
      </c>
      <c r="I14" s="7"/>
      <c r="J14" s="6">
        <v>6</v>
      </c>
      <c r="K14" s="691">
        <v>8</v>
      </c>
      <c r="L14" s="7"/>
      <c r="M14" s="70"/>
      <c r="N14" s="71"/>
      <c r="O14" s="72"/>
      <c r="P14" s="157"/>
      <c r="Q14" s="157"/>
      <c r="R14" s="72"/>
      <c r="S14" s="73"/>
      <c r="T14" s="181" t="s">
        <v>414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</row>
    <row r="15" spans="1:156" customFormat="1" ht="28.8" x14ac:dyDescent="0.3">
      <c r="A15" s="476"/>
      <c r="B15" s="436" t="s">
        <v>200</v>
      </c>
      <c r="C15" s="437" t="s">
        <v>100</v>
      </c>
      <c r="D15" s="438"/>
      <c r="E15" s="438">
        <v>12</v>
      </c>
      <c r="F15" s="438">
        <v>0</v>
      </c>
      <c r="G15" s="438">
        <v>0</v>
      </c>
      <c r="H15" s="438">
        <v>0</v>
      </c>
      <c r="I15" s="438"/>
      <c r="J15" s="438">
        <v>0</v>
      </c>
      <c r="K15" s="438">
        <v>0</v>
      </c>
      <c r="L15" s="438"/>
      <c r="M15" s="439"/>
      <c r="N15" s="440"/>
      <c r="O15" s="441"/>
      <c r="P15" s="442"/>
      <c r="Q15" s="442"/>
      <c r="R15" s="441"/>
      <c r="S15" s="443"/>
      <c r="T15" s="444" t="s">
        <v>371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</row>
    <row r="16" spans="1:156" customFormat="1" x14ac:dyDescent="0.3">
      <c r="A16" s="476"/>
      <c r="B16" s="257" t="s">
        <v>99</v>
      </c>
      <c r="C16" s="258"/>
      <c r="D16" s="259">
        <f>D14+D15</f>
        <v>0</v>
      </c>
      <c r="E16" s="259">
        <f>E14+E15</f>
        <v>36</v>
      </c>
      <c r="F16" s="259">
        <f>F14+F15</f>
        <v>13</v>
      </c>
      <c r="G16" s="259">
        <f>G14+G15</f>
        <v>2</v>
      </c>
      <c r="H16" s="259">
        <f>H14+H15</f>
        <v>0</v>
      </c>
      <c r="I16" s="31"/>
      <c r="J16" s="259">
        <f>J14+J15</f>
        <v>6</v>
      </c>
      <c r="K16" s="259">
        <f>K14+K15</f>
        <v>8</v>
      </c>
      <c r="L16" s="31"/>
      <c r="M16" s="260">
        <f>SUM(E16:G16)/3</f>
        <v>17</v>
      </c>
      <c r="N16" s="261">
        <f>(SUM(D16:G16)/31)</f>
        <v>1.6451612903225807</v>
      </c>
      <c r="O16" s="31"/>
      <c r="P16" s="260">
        <f>N16*1.5</f>
        <v>2.467741935483871</v>
      </c>
      <c r="Q16" s="260">
        <f>N16*2</f>
        <v>3.2903225806451615</v>
      </c>
      <c r="R16" s="31"/>
      <c r="S16" s="262">
        <f>Q16-(J16+K16)</f>
        <v>-10.709677419354838</v>
      </c>
      <c r="T16" s="503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</row>
    <row r="17" spans="1:156" x14ac:dyDescent="0.3">
      <c r="B17" s="219"/>
      <c r="C17" s="219"/>
      <c r="D17" s="220"/>
      <c r="E17" s="220"/>
      <c r="F17" s="220"/>
      <c r="G17" s="220"/>
      <c r="H17" s="220"/>
      <c r="I17" s="248"/>
      <c r="J17" s="220"/>
      <c r="K17" s="220"/>
      <c r="L17" s="248"/>
      <c r="M17" s="222"/>
      <c r="N17" s="223"/>
      <c r="O17" s="248"/>
      <c r="P17" s="222"/>
      <c r="Q17" s="222"/>
      <c r="R17" s="248"/>
      <c r="S17" s="222"/>
      <c r="T17" s="315"/>
    </row>
    <row r="18" spans="1:156" x14ac:dyDescent="0.3">
      <c r="B18" s="215"/>
      <c r="C18" s="205"/>
    </row>
    <row r="19" spans="1:156" customFormat="1" ht="28.8" x14ac:dyDescent="0.3">
      <c r="A19" s="476">
        <v>25.02</v>
      </c>
      <c r="B19" s="58" t="s">
        <v>503</v>
      </c>
      <c r="C19" s="62" t="s">
        <v>413</v>
      </c>
      <c r="D19" s="6"/>
      <c r="E19" s="6">
        <f>15+9</f>
        <v>24</v>
      </c>
      <c r="F19" s="6">
        <v>13</v>
      </c>
      <c r="G19" s="6">
        <v>2</v>
      </c>
      <c r="H19" s="6">
        <v>0</v>
      </c>
      <c r="I19" s="7"/>
      <c r="J19" s="6">
        <v>6</v>
      </c>
      <c r="K19" s="6">
        <v>0</v>
      </c>
      <c r="L19" s="7"/>
      <c r="M19" s="70"/>
      <c r="N19" s="71"/>
      <c r="O19" s="72"/>
      <c r="P19" s="157"/>
      <c r="Q19" s="157"/>
      <c r="R19" s="72"/>
      <c r="S19" s="73"/>
      <c r="T19" s="181" t="s">
        <v>414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</row>
    <row r="20" spans="1:156" customFormat="1" ht="28.8" x14ac:dyDescent="0.3">
      <c r="A20" s="476"/>
      <c r="B20" s="436" t="s">
        <v>200</v>
      </c>
      <c r="C20" s="437" t="s">
        <v>100</v>
      </c>
      <c r="D20" s="438"/>
      <c r="E20" s="438">
        <v>12</v>
      </c>
      <c r="F20" s="438">
        <v>0</v>
      </c>
      <c r="G20" s="438">
        <v>0</v>
      </c>
      <c r="H20" s="438">
        <v>0</v>
      </c>
      <c r="I20" s="438"/>
      <c r="J20" s="438">
        <v>0</v>
      </c>
      <c r="K20" s="438">
        <v>0</v>
      </c>
      <c r="L20" s="438"/>
      <c r="M20" s="439"/>
      <c r="N20" s="440"/>
      <c r="O20" s="441"/>
      <c r="P20" s="442"/>
      <c r="Q20" s="442"/>
      <c r="R20" s="441"/>
      <c r="S20" s="443"/>
      <c r="T20" s="444" t="s">
        <v>371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</row>
    <row r="21" spans="1:156" customFormat="1" ht="28.8" x14ac:dyDescent="0.3">
      <c r="A21" s="476">
        <v>25.02</v>
      </c>
      <c r="B21" s="59" t="s">
        <v>199</v>
      </c>
      <c r="C21" s="63" t="s">
        <v>148</v>
      </c>
      <c r="D21" s="18">
        <f>2+2</f>
        <v>4</v>
      </c>
      <c r="E21" s="18">
        <v>21</v>
      </c>
      <c r="F21" s="18">
        <v>11</v>
      </c>
      <c r="G21" s="18">
        <v>65</v>
      </c>
      <c r="H21" s="18">
        <v>40</v>
      </c>
      <c r="I21" s="19"/>
      <c r="J21" s="18">
        <v>18</v>
      </c>
      <c r="K21" s="18">
        <v>0</v>
      </c>
      <c r="L21" s="19"/>
      <c r="M21" s="74"/>
      <c r="N21" s="75"/>
      <c r="O21" s="43"/>
      <c r="P21" s="154"/>
      <c r="Q21" s="154"/>
      <c r="R21" s="43"/>
      <c r="S21" s="76"/>
      <c r="T21" s="180" t="s">
        <v>163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</row>
    <row r="22" spans="1:156" customFormat="1" ht="43.2" x14ac:dyDescent="0.3">
      <c r="A22" s="476">
        <v>25.02</v>
      </c>
      <c r="B22" s="59" t="s">
        <v>514</v>
      </c>
      <c r="C22" s="63" t="s">
        <v>148</v>
      </c>
      <c r="D22" s="18"/>
      <c r="E22" s="18"/>
      <c r="F22" s="18"/>
      <c r="G22" s="18"/>
      <c r="H22" s="18"/>
      <c r="I22" s="19"/>
      <c r="J22" s="18">
        <v>1</v>
      </c>
      <c r="K22" s="18">
        <v>0</v>
      </c>
      <c r="L22" s="19"/>
      <c r="M22" s="74"/>
      <c r="N22" s="75"/>
      <c r="O22" s="43"/>
      <c r="P22" s="154"/>
      <c r="Q22" s="154"/>
      <c r="R22" s="43"/>
      <c r="S22" s="76"/>
      <c r="T22" s="180" t="s">
        <v>163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</row>
    <row r="23" spans="1:156" customFormat="1" x14ac:dyDescent="0.3">
      <c r="A23" s="476"/>
      <c r="B23" s="257" t="s">
        <v>99</v>
      </c>
      <c r="C23" s="258"/>
      <c r="D23" s="259">
        <f>SUM(D19:D22)</f>
        <v>4</v>
      </c>
      <c r="E23" s="259">
        <f>SUM(E19:E22)</f>
        <v>57</v>
      </c>
      <c r="F23" s="259">
        <f t="shared" ref="F23:H23" si="0">SUM(F19:F22)</f>
        <v>24</v>
      </c>
      <c r="G23" s="259">
        <f t="shared" si="0"/>
        <v>67</v>
      </c>
      <c r="H23" s="259">
        <f t="shared" si="0"/>
        <v>40</v>
      </c>
      <c r="I23" s="31"/>
      <c r="J23" s="259">
        <f>SUM(J19:J22)</f>
        <v>25</v>
      </c>
      <c r="K23" s="259">
        <f>SUM(K19:K22)</f>
        <v>0</v>
      </c>
      <c r="L23" s="31"/>
      <c r="M23" s="260">
        <f>SUM(E23:G23)/3</f>
        <v>49.333333333333336</v>
      </c>
      <c r="N23" s="261">
        <f>(SUM(D23:G23)/37.5)</f>
        <v>4.0533333333333337</v>
      </c>
      <c r="O23" s="31"/>
      <c r="P23" s="260">
        <f>N23*1.5</f>
        <v>6.08</v>
      </c>
      <c r="Q23" s="260">
        <f>N23*3</f>
        <v>12.16</v>
      </c>
      <c r="R23" s="31"/>
      <c r="S23" s="262">
        <f>Q23-(J23+K23)</f>
        <v>-12.84</v>
      </c>
      <c r="T23" s="435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</row>
    <row r="24" spans="1:156" x14ac:dyDescent="0.3">
      <c r="B24" s="219"/>
      <c r="C24" s="219"/>
      <c r="D24" s="220"/>
      <c r="E24" s="220"/>
      <c r="F24" s="220"/>
      <c r="G24" s="220"/>
      <c r="H24" s="220"/>
      <c r="I24" s="248"/>
      <c r="J24" s="220"/>
      <c r="K24" s="220"/>
      <c r="L24" s="248"/>
      <c r="M24" s="222"/>
      <c r="N24" s="223"/>
      <c r="O24" s="248"/>
      <c r="P24" s="222"/>
      <c r="Q24" s="222"/>
      <c r="R24" s="248"/>
      <c r="S24" s="222"/>
      <c r="T24" s="315"/>
    </row>
    <row r="25" spans="1:156" x14ac:dyDescent="0.3">
      <c r="B25" s="219"/>
      <c r="C25" s="219"/>
      <c r="D25" s="220"/>
      <c r="E25" s="220"/>
      <c r="F25" s="220"/>
      <c r="G25" s="220"/>
      <c r="H25" s="220"/>
      <c r="I25" s="248"/>
      <c r="J25" s="220"/>
      <c r="K25" s="220"/>
      <c r="L25" s="248"/>
      <c r="M25" s="222"/>
      <c r="N25" s="223"/>
      <c r="O25" s="248"/>
      <c r="P25" s="222"/>
      <c r="Q25" s="222"/>
      <c r="R25" s="248"/>
      <c r="S25" s="222"/>
      <c r="T25" s="315"/>
    </row>
    <row r="27" spans="1:156" x14ac:dyDescent="0.3">
      <c r="B27" s="215"/>
      <c r="C27" s="205"/>
    </row>
  </sheetData>
  <mergeCells count="14">
    <mergeCell ref="L3:L4"/>
    <mergeCell ref="B3:C3"/>
    <mergeCell ref="I3:I4"/>
    <mergeCell ref="J3:J4"/>
    <mergeCell ref="K3:K4"/>
    <mergeCell ref="D3:H3"/>
    <mergeCell ref="S3:S4"/>
    <mergeCell ref="T3:T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8" orientation="landscape" r:id="rId1"/>
  <colBreaks count="1" manualBreakCount="1">
    <brk id="19" max="1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82EF-D0F6-4675-A7F0-4C9EF0D24AEE}">
  <sheetPr>
    <tabColor rgb="FF7030A0"/>
  </sheetPr>
  <dimension ref="A2:Y43"/>
  <sheetViews>
    <sheetView zoomScale="90" zoomScaleNormal="90" zoomScaleSheetLayoutView="102" workbookViewId="0">
      <selection activeCell="Y26" sqref="Y26"/>
    </sheetView>
  </sheetViews>
  <sheetFormatPr baseColWidth="10" defaultColWidth="11.44140625" defaultRowHeight="14.4" x14ac:dyDescent="0.3"/>
  <cols>
    <col min="1" max="1" width="4.6640625" style="476" customWidth="1"/>
    <col min="2" max="2" width="10.33203125" style="56" bestFit="1" customWidth="1"/>
    <col min="3" max="3" width="33" style="56" customWidth="1"/>
    <col min="4" max="4" width="12.44140625" style="56" customWidth="1"/>
    <col min="5" max="5" width="9.77734375" style="56" customWidth="1"/>
    <col min="6" max="6" width="9.88671875" style="56" bestFit="1" customWidth="1"/>
    <col min="7" max="7" width="8" style="215" customWidth="1"/>
    <col min="8" max="11" width="8" style="1" customWidth="1"/>
    <col min="12" max="12" width="1.88671875" style="1" hidden="1" customWidth="1"/>
    <col min="13" max="13" width="10.21875" style="1" hidden="1" customWidth="1"/>
    <col min="14" max="14" width="1.88671875" style="1" customWidth="1"/>
    <col min="15" max="15" width="10.21875" style="1" bestFit="1" customWidth="1"/>
    <col min="16" max="16" width="10.21875" style="1" customWidth="1"/>
    <col min="17" max="17" width="1.88671875" style="1" customWidth="1"/>
    <col min="18" max="19" width="11.33203125" style="1" customWidth="1"/>
    <col min="20" max="20" width="1.88671875" style="1" customWidth="1"/>
    <col min="21" max="21" width="16.44140625" style="1" customWidth="1"/>
    <col min="22" max="22" width="19.33203125" style="1" customWidth="1"/>
    <col min="23" max="23" width="1.88671875" style="1" customWidth="1"/>
    <col min="24" max="24" width="12.33203125" style="1" bestFit="1" customWidth="1"/>
    <col min="25" max="25" width="112.5546875" style="1" bestFit="1" customWidth="1"/>
    <col min="26" max="26" width="41.109375" style="1" bestFit="1" customWidth="1"/>
    <col min="27" max="16384" width="11.44140625" style="1"/>
  </cols>
  <sheetData>
    <row r="2" spans="1:25" x14ac:dyDescent="0.3">
      <c r="B2" s="56" t="s">
        <v>103</v>
      </c>
    </row>
    <row r="3" spans="1:25" x14ac:dyDescent="0.3">
      <c r="B3" s="56" t="s">
        <v>63</v>
      </c>
    </row>
    <row r="5" spans="1:25" ht="14.4" customHeight="1" x14ac:dyDescent="0.3">
      <c r="B5" s="718" t="s">
        <v>103</v>
      </c>
      <c r="C5" s="749"/>
      <c r="D5" s="749"/>
      <c r="E5" s="749"/>
      <c r="F5" s="719"/>
      <c r="G5" s="721" t="s">
        <v>54</v>
      </c>
      <c r="H5" s="722"/>
      <c r="I5" s="722"/>
      <c r="J5" s="722"/>
      <c r="K5" s="723"/>
      <c r="L5" s="712"/>
      <c r="M5" s="720" t="s">
        <v>330</v>
      </c>
      <c r="N5" s="712"/>
      <c r="O5" s="720" t="s">
        <v>3</v>
      </c>
      <c r="P5" s="720" t="s">
        <v>57</v>
      </c>
      <c r="Q5" s="712"/>
      <c r="R5" s="710" t="s">
        <v>239</v>
      </c>
      <c r="S5" s="710" t="s">
        <v>240</v>
      </c>
      <c r="T5" s="712"/>
      <c r="U5" s="710" t="s">
        <v>436</v>
      </c>
      <c r="V5" s="710" t="s">
        <v>435</v>
      </c>
      <c r="W5" s="712"/>
      <c r="X5" s="714" t="s">
        <v>35</v>
      </c>
      <c r="Y5" s="716" t="s">
        <v>162</v>
      </c>
    </row>
    <row r="6" spans="1:25" ht="28.2" customHeight="1" x14ac:dyDescent="0.3">
      <c r="B6" s="80" t="s">
        <v>106</v>
      </c>
      <c r="C6" s="84" t="s">
        <v>56</v>
      </c>
      <c r="D6" s="81" t="s">
        <v>55</v>
      </c>
      <c r="E6" s="81" t="s">
        <v>104</v>
      </c>
      <c r="F6" s="81" t="s">
        <v>105</v>
      </c>
      <c r="G6" s="588">
        <v>2025</v>
      </c>
      <c r="H6" s="68">
        <v>2024</v>
      </c>
      <c r="I6" s="68">
        <v>2023</v>
      </c>
      <c r="J6" s="68">
        <v>2022</v>
      </c>
      <c r="K6" s="68">
        <v>2021</v>
      </c>
      <c r="L6" s="713"/>
      <c r="M6" s="711"/>
      <c r="N6" s="713"/>
      <c r="O6" s="711"/>
      <c r="P6" s="711"/>
      <c r="Q6" s="713"/>
      <c r="R6" s="711"/>
      <c r="S6" s="711"/>
      <c r="T6" s="713"/>
      <c r="U6" s="711"/>
      <c r="V6" s="711"/>
      <c r="W6" s="713"/>
      <c r="X6" s="715"/>
      <c r="Y6" s="717"/>
    </row>
    <row r="7" spans="1:25" s="9" customFormat="1" x14ac:dyDescent="0.3">
      <c r="A7" s="477"/>
      <c r="B7" s="662" t="s">
        <v>107</v>
      </c>
      <c r="C7" s="662" t="s">
        <v>126</v>
      </c>
      <c r="D7" s="663" t="s">
        <v>85</v>
      </c>
      <c r="E7" s="664" t="s">
        <v>127</v>
      </c>
      <c r="F7" s="663" t="s">
        <v>115</v>
      </c>
      <c r="G7" s="665">
        <v>58</v>
      </c>
      <c r="H7" s="7">
        <f>1+2</f>
        <v>3</v>
      </c>
      <c r="I7" s="7">
        <v>1</v>
      </c>
      <c r="J7" s="7">
        <v>3</v>
      </c>
      <c r="K7" s="7">
        <v>31</v>
      </c>
      <c r="L7" s="7"/>
      <c r="M7" s="7"/>
      <c r="N7" s="7"/>
      <c r="O7" s="7">
        <v>0</v>
      </c>
      <c r="P7" s="7">
        <v>0</v>
      </c>
      <c r="Q7" s="7"/>
      <c r="R7" s="666"/>
      <c r="S7" s="667"/>
      <c r="T7" s="7"/>
      <c r="U7" s="666"/>
      <c r="V7" s="666"/>
      <c r="W7" s="7"/>
      <c r="X7" s="668"/>
      <c r="Y7" s="669" t="s">
        <v>487</v>
      </c>
    </row>
    <row r="8" spans="1:25" s="9" customFormat="1" ht="13.8" customHeight="1" x14ac:dyDescent="0.3">
      <c r="A8" s="477"/>
      <c r="B8" s="59" t="s">
        <v>82</v>
      </c>
      <c r="C8" s="59"/>
      <c r="D8" s="63" t="s">
        <v>219</v>
      </c>
      <c r="E8" s="93" t="s">
        <v>127</v>
      </c>
      <c r="F8" s="63" t="s">
        <v>115</v>
      </c>
      <c r="G8" s="590">
        <v>0</v>
      </c>
      <c r="H8" s="18">
        <v>0</v>
      </c>
      <c r="I8" s="18">
        <v>0</v>
      </c>
      <c r="J8" s="18">
        <v>0</v>
      </c>
      <c r="K8" s="18">
        <v>0</v>
      </c>
      <c r="L8" s="19"/>
      <c r="M8" s="18"/>
      <c r="N8" s="19"/>
      <c r="O8" s="18">
        <v>1</v>
      </c>
      <c r="P8" s="18"/>
      <c r="Q8" s="19"/>
      <c r="R8" s="50"/>
      <c r="S8" s="49"/>
      <c r="T8" s="19"/>
      <c r="U8" s="50"/>
      <c r="V8" s="50"/>
      <c r="W8" s="19"/>
      <c r="X8" s="51"/>
      <c r="Y8" s="171"/>
    </row>
    <row r="9" spans="1:25" s="9" customFormat="1" x14ac:dyDescent="0.3">
      <c r="A9" s="477"/>
      <c r="B9" s="107" t="s">
        <v>82</v>
      </c>
      <c r="C9" s="107"/>
      <c r="D9" s="173" t="s">
        <v>377</v>
      </c>
      <c r="E9" s="173" t="s">
        <v>127</v>
      </c>
      <c r="F9" s="265" t="s">
        <v>115</v>
      </c>
      <c r="G9" s="592"/>
      <c r="H9" s="32"/>
      <c r="I9" s="448"/>
      <c r="J9" s="448"/>
      <c r="K9" s="448"/>
      <c r="L9" s="31"/>
      <c r="M9" s="32"/>
      <c r="N9" s="31"/>
      <c r="O9" s="32">
        <v>0</v>
      </c>
      <c r="P9" s="32">
        <v>0</v>
      </c>
      <c r="Q9" s="31"/>
      <c r="R9" s="266"/>
      <c r="S9" s="267"/>
      <c r="T9" s="31"/>
      <c r="U9" s="266"/>
      <c r="V9" s="266"/>
      <c r="W9" s="31"/>
      <c r="X9" s="268"/>
      <c r="Y9" s="171" t="s">
        <v>373</v>
      </c>
    </row>
    <row r="10" spans="1:25" s="9" customFormat="1" x14ac:dyDescent="0.3">
      <c r="A10" s="477">
        <v>25.02</v>
      </c>
      <c r="B10" s="257" t="s">
        <v>99</v>
      </c>
      <c r="C10" s="257"/>
      <c r="D10" s="258"/>
      <c r="E10" s="258"/>
      <c r="F10" s="258"/>
      <c r="G10" s="593">
        <f ca="1">SUM(G7:G12)</f>
        <v>62</v>
      </c>
      <c r="H10" s="259">
        <f ca="1">SUM(H7:H12)</f>
        <v>22</v>
      </c>
      <c r="I10" s="259">
        <f ca="1">SUM(I7:I12)</f>
        <v>12</v>
      </c>
      <c r="J10" s="259">
        <f ca="1">SUM(J7:J12)</f>
        <v>61</v>
      </c>
      <c r="K10" s="259">
        <f ca="1">SUM(K7:K12)</f>
        <v>60</v>
      </c>
      <c r="L10" s="19"/>
      <c r="M10" s="259"/>
      <c r="N10" s="19"/>
      <c r="O10" s="259">
        <f ca="1">SUM(O7:O12)</f>
        <v>10</v>
      </c>
      <c r="P10" s="259">
        <f ca="1">SUM(P7:P12)</f>
        <v>0</v>
      </c>
      <c r="Q10" s="19"/>
      <c r="R10" s="260">
        <f ca="1">SUM(H10:J10)/3</f>
        <v>31.666666666666668</v>
      </c>
      <c r="S10" s="261">
        <f ca="1">(SUM(G10:J10)/37)</f>
        <v>4.243243243243243</v>
      </c>
      <c r="T10" s="19"/>
      <c r="U10" s="260">
        <f ca="1">S10*3</f>
        <v>12.72972972972973</v>
      </c>
      <c r="V10" s="260">
        <f ca="1">S10*5</f>
        <v>21.216216216216214</v>
      </c>
      <c r="W10" s="19"/>
      <c r="X10" s="262">
        <f ca="1">V10-(O10+P10)</f>
        <v>11.216216216216214</v>
      </c>
      <c r="Y10" s="587" t="s">
        <v>465</v>
      </c>
    </row>
    <row r="11" spans="1:25" s="9" customFormat="1" ht="6.6" customHeight="1" x14ac:dyDescent="0.3">
      <c r="A11" s="481"/>
      <c r="B11" s="698"/>
      <c r="C11" s="699"/>
      <c r="D11" s="700"/>
      <c r="E11" s="700"/>
      <c r="F11" s="701"/>
      <c r="G11" s="702"/>
      <c r="H11" s="703"/>
      <c r="I11" s="703"/>
      <c r="J11" s="703"/>
      <c r="K11" s="703"/>
      <c r="L11" s="703"/>
      <c r="M11" s="703"/>
      <c r="N11" s="703"/>
      <c r="O11" s="703"/>
      <c r="P11" s="703"/>
      <c r="Q11" s="703"/>
      <c r="R11" s="704"/>
      <c r="S11" s="705"/>
      <c r="T11" s="703"/>
      <c r="U11" s="704"/>
      <c r="V11" s="704"/>
      <c r="W11" s="703"/>
      <c r="X11" s="706"/>
      <c r="Y11" s="707"/>
    </row>
    <row r="12" spans="1:25" s="9" customFormat="1" x14ac:dyDescent="0.3">
      <c r="A12" s="477"/>
      <c r="B12" s="433" t="s">
        <v>82</v>
      </c>
      <c r="C12" s="433" t="s">
        <v>129</v>
      </c>
      <c r="D12" s="398" t="s">
        <v>128</v>
      </c>
      <c r="E12" s="398" t="s">
        <v>127</v>
      </c>
      <c r="F12" s="64" t="s">
        <v>115</v>
      </c>
      <c r="G12" s="591">
        <f>2+2</f>
        <v>4</v>
      </c>
      <c r="H12" s="42">
        <f>14+4+1</f>
        <v>19</v>
      </c>
      <c r="I12" s="399">
        <v>11</v>
      </c>
      <c r="J12" s="399">
        <v>58</v>
      </c>
      <c r="K12" s="399">
        <v>29</v>
      </c>
      <c r="L12" s="43"/>
      <c r="M12" s="42"/>
      <c r="N12" s="43"/>
      <c r="O12" s="42">
        <v>9</v>
      </c>
      <c r="P12" s="42">
        <v>0</v>
      </c>
      <c r="Q12" s="43"/>
      <c r="R12" s="74"/>
      <c r="S12" s="75"/>
      <c r="T12" s="43"/>
      <c r="U12" s="74"/>
      <c r="V12" s="74"/>
      <c r="W12" s="43"/>
      <c r="X12" s="76"/>
      <c r="Y12" s="400" t="s">
        <v>420</v>
      </c>
    </row>
    <row r="13" spans="1:25" s="9" customFormat="1" x14ac:dyDescent="0.3">
      <c r="A13" s="477"/>
      <c r="B13" s="743"/>
      <c r="C13" s="744"/>
      <c r="D13" s="744"/>
      <c r="E13" s="744"/>
      <c r="F13" s="744"/>
      <c r="G13" s="744"/>
      <c r="H13" s="744"/>
      <c r="I13" s="744"/>
      <c r="J13" s="744"/>
      <c r="K13" s="744"/>
      <c r="L13" s="744"/>
      <c r="M13" s="744"/>
      <c r="N13" s="744"/>
      <c r="O13" s="744"/>
      <c r="P13" s="744"/>
      <c r="Q13" s="744"/>
      <c r="R13" s="744">
        <f>(SUM(I13:K13)/3)</f>
        <v>0</v>
      </c>
      <c r="S13" s="744">
        <f>((SUM(H13:K13))/38)</f>
        <v>0</v>
      </c>
      <c r="T13" s="744"/>
      <c r="U13" s="744">
        <f t="shared" ref="U13" si="0">S13*3</f>
        <v>0</v>
      </c>
      <c r="V13" s="744">
        <f t="shared" ref="V13" si="1">S13*5</f>
        <v>0</v>
      </c>
      <c r="W13" s="744"/>
      <c r="X13" s="744">
        <f t="shared" ref="X13" si="2">V13-(O13+P13)</f>
        <v>0</v>
      </c>
      <c r="Y13" s="745"/>
    </row>
    <row r="14" spans="1:25" s="9" customFormat="1" x14ac:dyDescent="0.3">
      <c r="A14" s="477"/>
      <c r="B14" s="449" t="s">
        <v>82</v>
      </c>
      <c r="C14" s="58" t="s">
        <v>376</v>
      </c>
      <c r="D14" s="62" t="s">
        <v>138</v>
      </c>
      <c r="E14" s="217" t="s">
        <v>127</v>
      </c>
      <c r="F14" s="62" t="s">
        <v>111</v>
      </c>
      <c r="G14" s="589">
        <v>1</v>
      </c>
      <c r="H14" s="6">
        <f>2+1</f>
        <v>3</v>
      </c>
      <c r="I14" s="6">
        <v>2</v>
      </c>
      <c r="J14" s="6">
        <v>0</v>
      </c>
      <c r="K14" s="6">
        <v>0</v>
      </c>
      <c r="L14" s="7"/>
      <c r="M14" s="6"/>
      <c r="N14" s="7"/>
      <c r="O14" s="6">
        <v>-6</v>
      </c>
      <c r="P14" s="6"/>
      <c r="Q14" s="7"/>
      <c r="R14" s="8"/>
      <c r="S14" s="47"/>
      <c r="T14" s="7"/>
      <c r="U14" s="8"/>
      <c r="V14" s="8"/>
      <c r="W14" s="7"/>
      <c r="X14" s="48"/>
      <c r="Y14" s="450" t="s">
        <v>525</v>
      </c>
    </row>
    <row r="15" spans="1:25" s="9" customFormat="1" x14ac:dyDescent="0.3">
      <c r="A15" s="477"/>
      <c r="B15" s="447" t="s">
        <v>82</v>
      </c>
      <c r="C15" s="107"/>
      <c r="D15" s="173" t="s">
        <v>524</v>
      </c>
      <c r="E15" s="173" t="s">
        <v>127</v>
      </c>
      <c r="F15" s="265" t="s">
        <v>111</v>
      </c>
      <c r="G15" s="592"/>
      <c r="H15" s="32"/>
      <c r="I15" s="448"/>
      <c r="J15" s="448"/>
      <c r="K15" s="448"/>
      <c r="L15" s="31"/>
      <c r="M15" s="32"/>
      <c r="N15" s="31"/>
      <c r="O15" s="32"/>
      <c r="P15" s="32"/>
      <c r="Q15" s="31"/>
      <c r="R15" s="266"/>
      <c r="S15" s="267"/>
      <c r="T15" s="31"/>
      <c r="U15" s="266"/>
      <c r="V15" s="266"/>
      <c r="W15" s="31"/>
      <c r="X15" s="268"/>
      <c r="Y15" s="269"/>
    </row>
    <row r="16" spans="1:25" s="9" customFormat="1" x14ac:dyDescent="0.3">
      <c r="A16" s="477">
        <v>25.02</v>
      </c>
      <c r="B16" s="257" t="s">
        <v>99</v>
      </c>
      <c r="C16" s="257"/>
      <c r="D16" s="258"/>
      <c r="E16" s="258"/>
      <c r="F16" s="258"/>
      <c r="G16" s="593">
        <f>SUM(G14:G15)</f>
        <v>1</v>
      </c>
      <c r="H16" s="259">
        <f>SUM(H14:H15)</f>
        <v>3</v>
      </c>
      <c r="I16" s="259">
        <f>SUM(I14:I15)</f>
        <v>2</v>
      </c>
      <c r="J16" s="259">
        <f>SUM(J14:J15)</f>
        <v>0</v>
      </c>
      <c r="K16" s="259">
        <f>SUM(K14:K15)</f>
        <v>0</v>
      </c>
      <c r="L16" s="45"/>
      <c r="M16" s="259"/>
      <c r="N16" s="45"/>
      <c r="O16" s="259">
        <f>SUM(O12:O15)</f>
        <v>3</v>
      </c>
      <c r="P16" s="259">
        <f>SUM(P12:P15)</f>
        <v>0</v>
      </c>
      <c r="Q16" s="45"/>
      <c r="R16" s="260">
        <f>SUM(H16:J16)/3</f>
        <v>1.6666666666666667</v>
      </c>
      <c r="S16" s="261">
        <f>(SUM(G16:J16)/37)</f>
        <v>0.16216216216216217</v>
      </c>
      <c r="T16" s="45"/>
      <c r="U16" s="260">
        <f>S16*3</f>
        <v>0.48648648648648651</v>
      </c>
      <c r="V16" s="260">
        <f>S16*5</f>
        <v>0.81081081081081086</v>
      </c>
      <c r="W16" s="45"/>
      <c r="X16" s="262">
        <f>V16-(O16+P16)</f>
        <v>-2.189189189189189</v>
      </c>
      <c r="Y16" s="263"/>
    </row>
    <row r="17" spans="1:25" s="9" customFormat="1" ht="6.6" customHeight="1" x14ac:dyDescent="0.3">
      <c r="A17" s="481"/>
      <c r="B17" s="698"/>
      <c r="C17" s="699"/>
      <c r="D17" s="700"/>
      <c r="E17" s="700"/>
      <c r="F17" s="701"/>
      <c r="G17" s="702"/>
      <c r="H17" s="703"/>
      <c r="I17" s="703"/>
      <c r="J17" s="703"/>
      <c r="K17" s="703"/>
      <c r="L17" s="703"/>
      <c r="M17" s="703"/>
      <c r="N17" s="703"/>
      <c r="O17" s="703"/>
      <c r="P17" s="703"/>
      <c r="Q17" s="703"/>
      <c r="R17" s="704"/>
      <c r="S17" s="705"/>
      <c r="T17" s="703"/>
      <c r="U17" s="704"/>
      <c r="V17" s="704"/>
      <c r="W17" s="703"/>
      <c r="X17" s="706"/>
      <c r="Y17" s="707"/>
    </row>
    <row r="18" spans="1:25" s="9" customFormat="1" x14ac:dyDescent="0.3">
      <c r="A18" s="477"/>
      <c r="B18" s="451" t="s">
        <v>82</v>
      </c>
      <c r="C18" s="117" t="s">
        <v>242</v>
      </c>
      <c r="D18" s="452" t="s">
        <v>241</v>
      </c>
      <c r="E18" s="93" t="s">
        <v>127</v>
      </c>
      <c r="F18" s="63" t="s">
        <v>111</v>
      </c>
      <c r="G18" s="590"/>
      <c r="H18" s="18">
        <v>23</v>
      </c>
      <c r="I18" s="82"/>
      <c r="J18" s="82"/>
      <c r="K18" s="82"/>
      <c r="L18" s="19"/>
      <c r="M18" s="18"/>
      <c r="N18" s="19"/>
      <c r="O18" s="18">
        <v>8</v>
      </c>
      <c r="P18" s="18"/>
      <c r="Q18" s="19"/>
      <c r="R18" s="50"/>
      <c r="S18" s="49"/>
      <c r="T18" s="19"/>
      <c r="U18" s="50"/>
      <c r="V18" s="50"/>
      <c r="W18" s="19"/>
      <c r="X18" s="51"/>
      <c r="Y18" s="54" t="s">
        <v>374</v>
      </c>
    </row>
    <row r="19" spans="1:25" s="9" customFormat="1" x14ac:dyDescent="0.3">
      <c r="A19" s="477">
        <v>4.03</v>
      </c>
      <c r="B19" s="257" t="s">
        <v>99</v>
      </c>
      <c r="C19" s="257"/>
      <c r="D19" s="258"/>
      <c r="E19" s="258"/>
      <c r="F19" s="258"/>
      <c r="G19" s="593">
        <f>SUM(G18)</f>
        <v>0</v>
      </c>
      <c r="H19" s="259">
        <f>SUM(H18)</f>
        <v>23</v>
      </c>
      <c r="I19" s="259">
        <f>SUM(I18)</f>
        <v>0</v>
      </c>
      <c r="J19" s="259">
        <f>SUM(J18)</f>
        <v>0</v>
      </c>
      <c r="K19" s="259">
        <f>SUM(K18)</f>
        <v>0</v>
      </c>
      <c r="L19" s="45"/>
      <c r="M19" s="259"/>
      <c r="N19" s="45"/>
      <c r="O19" s="259">
        <f>SUM(O14:O18)</f>
        <v>5</v>
      </c>
      <c r="P19" s="259">
        <f>SUM(P14:P18)</f>
        <v>0</v>
      </c>
      <c r="Q19" s="45"/>
      <c r="R19" s="260">
        <f>SUM(H19:J19)/3</f>
        <v>7.666666666666667</v>
      </c>
      <c r="S19" s="261">
        <f>(SUM(G19:J19)/37)</f>
        <v>0.6216216216216216</v>
      </c>
      <c r="T19" s="45"/>
      <c r="U19" s="260">
        <f>S19*3</f>
        <v>1.8648648648648649</v>
      </c>
      <c r="V19" s="260">
        <f>S19*5</f>
        <v>3.1081081081081079</v>
      </c>
      <c r="W19" s="45"/>
      <c r="X19" s="262">
        <f>V19-(O19+P19)</f>
        <v>-1.8918918918918921</v>
      </c>
      <c r="Y19" s="263"/>
    </row>
    <row r="20" spans="1:25" s="9" customFormat="1" x14ac:dyDescent="0.3">
      <c r="A20" s="477"/>
      <c r="B20" s="734"/>
      <c r="C20" s="735"/>
      <c r="D20" s="735"/>
      <c r="E20" s="735"/>
      <c r="F20" s="735"/>
      <c r="G20" s="735"/>
      <c r="H20" s="735"/>
      <c r="I20" s="735"/>
      <c r="J20" s="735"/>
      <c r="K20" s="735"/>
      <c r="L20" s="735"/>
      <c r="M20" s="735"/>
      <c r="N20" s="735"/>
      <c r="O20" s="735"/>
      <c r="P20" s="735"/>
      <c r="Q20" s="735"/>
      <c r="R20" s="735"/>
      <c r="S20" s="735"/>
      <c r="T20" s="735"/>
      <c r="U20" s="735"/>
      <c r="V20" s="735"/>
      <c r="W20" s="735"/>
      <c r="X20" s="735"/>
      <c r="Y20" s="736"/>
    </row>
    <row r="21" spans="1:25" s="9" customFormat="1" x14ac:dyDescent="0.3">
      <c r="A21" s="477"/>
      <c r="B21" s="432" t="s">
        <v>107</v>
      </c>
      <c r="C21" s="432" t="s">
        <v>114</v>
      </c>
      <c r="D21" s="217">
        <v>100013</v>
      </c>
      <c r="E21" s="217" t="s">
        <v>109</v>
      </c>
      <c r="F21" s="62" t="s">
        <v>115</v>
      </c>
      <c r="G21" s="589">
        <v>2</v>
      </c>
      <c r="H21" s="6">
        <v>20</v>
      </c>
      <c r="I21" s="6">
        <v>26</v>
      </c>
      <c r="J21" s="6">
        <v>63</v>
      </c>
      <c r="K21" s="6">
        <v>26</v>
      </c>
      <c r="L21" s="7"/>
      <c r="M21" s="6"/>
      <c r="N21" s="7"/>
      <c r="O21" s="6">
        <v>9</v>
      </c>
      <c r="P21" s="6">
        <v>0</v>
      </c>
      <c r="Q21" s="7"/>
      <c r="R21" s="8"/>
      <c r="S21" s="47"/>
      <c r="T21" s="7"/>
      <c r="U21" s="8"/>
      <c r="V21" s="8"/>
      <c r="W21" s="7"/>
      <c r="X21" s="48"/>
      <c r="Y21" s="53" t="s">
        <v>355</v>
      </c>
    </row>
    <row r="22" spans="1:25" s="9" customFormat="1" ht="6.6" customHeight="1" x14ac:dyDescent="0.3">
      <c r="A22" s="481"/>
      <c r="B22" s="698"/>
      <c r="C22" s="699"/>
      <c r="D22" s="700"/>
      <c r="E22" s="700"/>
      <c r="F22" s="701"/>
      <c r="G22" s="702"/>
      <c r="H22" s="703"/>
      <c r="I22" s="703"/>
      <c r="J22" s="703"/>
      <c r="K22" s="703"/>
      <c r="L22" s="703"/>
      <c r="M22" s="703"/>
      <c r="N22" s="703"/>
      <c r="O22" s="703"/>
      <c r="P22" s="703"/>
      <c r="Q22" s="703"/>
      <c r="R22" s="704"/>
      <c r="S22" s="705"/>
      <c r="T22" s="703"/>
      <c r="U22" s="704"/>
      <c r="V22" s="704"/>
      <c r="W22" s="703"/>
      <c r="X22" s="706"/>
      <c r="Y22" s="707"/>
    </row>
    <row r="23" spans="1:25" s="9" customFormat="1" x14ac:dyDescent="0.3">
      <c r="A23" s="477"/>
      <c r="B23" s="85" t="s">
        <v>82</v>
      </c>
      <c r="C23" s="52" t="s">
        <v>118</v>
      </c>
      <c r="D23" s="63" t="s">
        <v>117</v>
      </c>
      <c r="E23" s="93" t="s">
        <v>110</v>
      </c>
      <c r="F23" s="63" t="s">
        <v>115</v>
      </c>
      <c r="G23" s="590">
        <v>0</v>
      </c>
      <c r="H23" s="18">
        <f>20</f>
        <v>20</v>
      </c>
      <c r="I23" s="82" t="s">
        <v>113</v>
      </c>
      <c r="J23" s="82" t="s">
        <v>113</v>
      </c>
      <c r="K23" s="82" t="s">
        <v>113</v>
      </c>
      <c r="L23" s="19"/>
      <c r="M23" s="18"/>
      <c r="N23" s="19"/>
      <c r="O23" s="18">
        <v>5</v>
      </c>
      <c r="P23" s="18">
        <v>0</v>
      </c>
      <c r="Q23" s="19"/>
      <c r="R23" s="50"/>
      <c r="S23" s="49"/>
      <c r="T23" s="19"/>
      <c r="U23" s="50"/>
      <c r="V23" s="50"/>
      <c r="W23" s="19"/>
      <c r="X23" s="51"/>
      <c r="Y23" s="171" t="s">
        <v>375</v>
      </c>
    </row>
    <row r="24" spans="1:25" s="9" customFormat="1" x14ac:dyDescent="0.3">
      <c r="A24" s="477">
        <v>25.02</v>
      </c>
      <c r="B24" s="257" t="s">
        <v>99</v>
      </c>
      <c r="C24" s="257"/>
      <c r="D24" s="258"/>
      <c r="E24" s="258"/>
      <c r="F24" s="258"/>
      <c r="G24" s="593">
        <f>SUM(G21:G23)</f>
        <v>2</v>
      </c>
      <c r="H24" s="259">
        <f>SUM(H21:H23)</f>
        <v>40</v>
      </c>
      <c r="I24" s="259">
        <f>SUM(I21:I23)</f>
        <v>26</v>
      </c>
      <c r="J24" s="259">
        <f>SUM(J21:J23)</f>
        <v>63</v>
      </c>
      <c r="K24" s="259">
        <f>SUM(K21:K23)</f>
        <v>26</v>
      </c>
      <c r="L24" s="19"/>
      <c r="M24" s="259"/>
      <c r="N24" s="19"/>
      <c r="O24" s="259">
        <f>SUM(O20:O23)</f>
        <v>14</v>
      </c>
      <c r="P24" s="259">
        <f>SUM(P21:P23)</f>
        <v>0</v>
      </c>
      <c r="Q24" s="19"/>
      <c r="R24" s="260">
        <f>SUM(H24:J24)/3</f>
        <v>43</v>
      </c>
      <c r="S24" s="261">
        <f>(SUM(G24:J24)/37)</f>
        <v>3.5405405405405403</v>
      </c>
      <c r="T24" s="19"/>
      <c r="U24" s="260">
        <f>S24*3</f>
        <v>10.621621621621621</v>
      </c>
      <c r="V24" s="260">
        <f>S24*5</f>
        <v>17.702702702702702</v>
      </c>
      <c r="W24" s="19"/>
      <c r="X24" s="262">
        <f>V24-(O24+P24)</f>
        <v>3.7027027027027017</v>
      </c>
      <c r="Y24" s="263"/>
    </row>
    <row r="25" spans="1:25" s="9" customFormat="1" x14ac:dyDescent="0.3">
      <c r="A25" s="477"/>
      <c r="B25" s="734"/>
      <c r="C25" s="735"/>
      <c r="D25" s="735"/>
      <c r="E25" s="735"/>
      <c r="F25" s="735"/>
      <c r="G25" s="735"/>
      <c r="H25" s="735"/>
      <c r="I25" s="735"/>
      <c r="J25" s="735"/>
      <c r="K25" s="735"/>
      <c r="L25" s="735"/>
      <c r="M25" s="735"/>
      <c r="N25" s="735"/>
      <c r="O25" s="735"/>
      <c r="P25" s="735"/>
      <c r="Q25" s="735"/>
      <c r="R25" s="735">
        <f>(SUM(I25:K25)/3)</f>
        <v>0</v>
      </c>
      <c r="S25" s="735">
        <f>((SUM(H25:K25))/38)</f>
        <v>0</v>
      </c>
      <c r="T25" s="735"/>
      <c r="U25" s="735">
        <f>S25*3</f>
        <v>0</v>
      </c>
      <c r="V25" s="735">
        <f>S25*5</f>
        <v>0</v>
      </c>
      <c r="W25" s="735"/>
      <c r="X25" s="735">
        <f>V25-(O25+P25)</f>
        <v>0</v>
      </c>
      <c r="Y25" s="736"/>
    </row>
    <row r="26" spans="1:25" s="9" customFormat="1" ht="13.2" customHeight="1" x14ac:dyDescent="0.3">
      <c r="A26" s="481"/>
      <c r="B26" s="432" t="s">
        <v>107</v>
      </c>
      <c r="C26" s="432" t="s">
        <v>108</v>
      </c>
      <c r="D26" s="586">
        <v>100014</v>
      </c>
      <c r="E26" s="217" t="s">
        <v>109</v>
      </c>
      <c r="F26" s="62" t="s">
        <v>111</v>
      </c>
      <c r="G26" s="589"/>
      <c r="H26" s="6">
        <f>2+19</f>
        <v>21</v>
      </c>
      <c r="I26" s="6">
        <v>36</v>
      </c>
      <c r="J26" s="6">
        <v>31</v>
      </c>
      <c r="K26" s="6">
        <v>21</v>
      </c>
      <c r="L26" s="7"/>
      <c r="M26" s="6"/>
      <c r="N26" s="7"/>
      <c r="O26" s="6">
        <v>0</v>
      </c>
      <c r="P26" s="6">
        <v>0</v>
      </c>
      <c r="Q26" s="7"/>
      <c r="R26" s="8"/>
      <c r="S26" s="47"/>
      <c r="T26" s="7"/>
      <c r="U26" s="8"/>
      <c r="V26" s="8"/>
      <c r="W26" s="7"/>
      <c r="X26" s="48"/>
      <c r="Y26" s="53" t="s">
        <v>528</v>
      </c>
    </row>
    <row r="27" spans="1:25" s="9" customFormat="1" ht="6.6" customHeight="1" x14ac:dyDescent="0.3">
      <c r="A27" s="481"/>
      <c r="B27" s="698"/>
      <c r="C27" s="699"/>
      <c r="D27" s="700"/>
      <c r="E27" s="700"/>
      <c r="F27" s="701"/>
      <c r="G27" s="702"/>
      <c r="H27" s="703"/>
      <c r="I27" s="703"/>
      <c r="J27" s="703"/>
      <c r="K27" s="703"/>
      <c r="L27" s="703"/>
      <c r="M27" s="703"/>
      <c r="N27" s="703"/>
      <c r="O27" s="703"/>
      <c r="P27" s="703"/>
      <c r="Q27" s="703"/>
      <c r="R27" s="704"/>
      <c r="S27" s="705"/>
      <c r="T27" s="703"/>
      <c r="U27" s="704"/>
      <c r="V27" s="704"/>
      <c r="W27" s="703"/>
      <c r="X27" s="706"/>
      <c r="Y27" s="707"/>
    </row>
    <row r="28" spans="1:25" s="9" customFormat="1" x14ac:dyDescent="0.3">
      <c r="A28" s="481"/>
      <c r="B28" s="85" t="s">
        <v>82</v>
      </c>
      <c r="C28" s="52" t="s">
        <v>116</v>
      </c>
      <c r="D28" s="63" t="s">
        <v>112</v>
      </c>
      <c r="E28" s="93" t="s">
        <v>110</v>
      </c>
      <c r="F28" s="63" t="s">
        <v>111</v>
      </c>
      <c r="G28" s="590">
        <v>1</v>
      </c>
      <c r="H28" s="18">
        <v>1</v>
      </c>
      <c r="I28" s="82" t="s">
        <v>113</v>
      </c>
      <c r="J28" s="82" t="s">
        <v>113</v>
      </c>
      <c r="K28" s="82" t="s">
        <v>113</v>
      </c>
      <c r="L28" s="19"/>
      <c r="M28" s="18"/>
      <c r="N28" s="19"/>
      <c r="O28" s="18">
        <v>10</v>
      </c>
      <c r="P28" s="18">
        <v>0</v>
      </c>
      <c r="Q28" s="19"/>
      <c r="R28" s="50"/>
      <c r="S28" s="49"/>
      <c r="T28" s="19"/>
      <c r="U28" s="50"/>
      <c r="V28" s="50"/>
      <c r="W28" s="19"/>
      <c r="X28" s="51"/>
      <c r="Y28" s="171" t="s">
        <v>375</v>
      </c>
    </row>
    <row r="29" spans="1:25" s="9" customFormat="1" x14ac:dyDescent="0.3">
      <c r="A29" s="481">
        <v>4.03</v>
      </c>
      <c r="B29" s="257" t="s">
        <v>99</v>
      </c>
      <c r="C29" s="257"/>
      <c r="D29" s="258"/>
      <c r="E29" s="258"/>
      <c r="F29" s="258"/>
      <c r="G29" s="593">
        <f>SUM(G26:G28)</f>
        <v>1</v>
      </c>
      <c r="H29" s="259">
        <f>SUM(H26:H28)</f>
        <v>22</v>
      </c>
      <c r="I29" s="259">
        <f>SUM(I26:I28)</f>
        <v>36</v>
      </c>
      <c r="J29" s="259">
        <f>SUM(J26:J28)</f>
        <v>31</v>
      </c>
      <c r="K29" s="259">
        <f>SUM(K26:K28)</f>
        <v>21</v>
      </c>
      <c r="L29" s="19"/>
      <c r="M29" s="259"/>
      <c r="N29" s="19"/>
      <c r="O29" s="259">
        <f>SUM(O26:O28)</f>
        <v>10</v>
      </c>
      <c r="P29" s="259">
        <f>SUM(P26:P28)</f>
        <v>0</v>
      </c>
      <c r="Q29" s="19"/>
      <c r="R29" s="260">
        <f>SUM(H29:J29)/3</f>
        <v>29.666666666666668</v>
      </c>
      <c r="S29" s="261">
        <f>(SUM(G29:J29)/37)</f>
        <v>2.4324324324324325</v>
      </c>
      <c r="T29" s="19"/>
      <c r="U29" s="260">
        <f>S29*3</f>
        <v>7.2972972972972974</v>
      </c>
      <c r="V29" s="260">
        <f>S29*5</f>
        <v>12.162162162162161</v>
      </c>
      <c r="W29" s="19"/>
      <c r="X29" s="262">
        <f>V29-(O29+P29)</f>
        <v>2.1621621621621614</v>
      </c>
      <c r="Y29" s="263"/>
    </row>
    <row r="30" spans="1:25" s="9" customFormat="1" x14ac:dyDescent="0.3">
      <c r="A30" s="477"/>
      <c r="B30" s="218"/>
      <c r="C30" s="219"/>
      <c r="D30" s="219"/>
      <c r="E30" s="219"/>
      <c r="F30" s="219"/>
      <c r="G30" s="594"/>
      <c r="H30" s="220"/>
      <c r="I30" s="220"/>
      <c r="J30" s="220"/>
      <c r="K30" s="220"/>
      <c r="L30" s="221"/>
      <c r="M30" s="220"/>
      <c r="N30" s="221"/>
      <c r="O30" s="220"/>
      <c r="P30" s="220"/>
      <c r="Q30" s="221"/>
      <c r="R30" s="222"/>
      <c r="S30" s="223"/>
      <c r="T30" s="221"/>
      <c r="U30" s="222"/>
      <c r="V30" s="222"/>
      <c r="W30" s="221"/>
      <c r="X30" s="222"/>
      <c r="Y30" s="224"/>
    </row>
    <row r="31" spans="1:25" s="9" customFormat="1" x14ac:dyDescent="0.3">
      <c r="A31" s="477"/>
      <c r="B31" s="218"/>
      <c r="C31" s="219"/>
      <c r="D31" s="219"/>
      <c r="E31" s="219"/>
      <c r="F31" s="219"/>
      <c r="G31" s="594"/>
      <c r="H31" s="220"/>
      <c r="I31" s="220"/>
      <c r="J31" s="220"/>
      <c r="K31" s="220"/>
      <c r="L31" s="221"/>
      <c r="M31" s="220"/>
      <c r="N31" s="221"/>
      <c r="O31" s="220"/>
      <c r="P31" s="220"/>
      <c r="Q31" s="221"/>
      <c r="R31" s="222"/>
      <c r="S31" s="223"/>
      <c r="T31" s="221"/>
      <c r="U31" s="222"/>
      <c r="V31" s="222"/>
      <c r="W31" s="221"/>
      <c r="X31" s="222"/>
      <c r="Y31" s="224"/>
    </row>
    <row r="32" spans="1:25" s="9" customFormat="1" x14ac:dyDescent="0.3">
      <c r="A32" s="477"/>
      <c r="B32" s="734"/>
      <c r="C32" s="735"/>
      <c r="D32" s="735"/>
      <c r="E32" s="735"/>
      <c r="F32" s="735"/>
      <c r="G32" s="735"/>
      <c r="H32" s="735"/>
      <c r="I32" s="735"/>
      <c r="J32" s="735"/>
      <c r="K32" s="735"/>
      <c r="L32" s="735"/>
      <c r="M32" s="735"/>
      <c r="N32" s="735"/>
      <c r="O32" s="735"/>
      <c r="P32" s="735"/>
      <c r="Q32" s="735"/>
      <c r="R32" s="735"/>
      <c r="S32" s="735"/>
      <c r="T32" s="735"/>
      <c r="U32" s="735"/>
      <c r="V32" s="735"/>
      <c r="W32" s="735"/>
      <c r="X32" s="735"/>
      <c r="Y32" s="736"/>
    </row>
    <row r="33" spans="1:25" s="9" customFormat="1" x14ac:dyDescent="0.3">
      <c r="A33" s="477"/>
      <c r="B33" s="58" t="s">
        <v>107</v>
      </c>
      <c r="C33" s="58" t="s">
        <v>119</v>
      </c>
      <c r="D33" s="62">
        <v>100011</v>
      </c>
      <c r="E33" s="62" t="s">
        <v>109</v>
      </c>
      <c r="F33" s="62" t="s">
        <v>94</v>
      </c>
      <c r="G33" s="589"/>
      <c r="H33" s="6">
        <v>0</v>
      </c>
      <c r="I33" s="6">
        <v>1</v>
      </c>
      <c r="J33" s="6">
        <v>0</v>
      </c>
      <c r="K33" s="6">
        <v>9</v>
      </c>
      <c r="L33" s="7"/>
      <c r="M33" s="6"/>
      <c r="N33" s="7"/>
      <c r="O33" s="6">
        <v>26</v>
      </c>
      <c r="P33" s="6">
        <v>0</v>
      </c>
      <c r="Q33" s="7"/>
      <c r="R33" s="8">
        <f>SUM(I33:K33)/3</f>
        <v>3.3333333333333335</v>
      </c>
      <c r="S33" s="47">
        <f>(SUM(H33:K33)/38)</f>
        <v>0.26315789473684209</v>
      </c>
      <c r="T33" s="7"/>
      <c r="U33" s="8">
        <f>S33*3</f>
        <v>0.78947368421052633</v>
      </c>
      <c r="V33" s="8">
        <f>S33*5</f>
        <v>1.3157894736842104</v>
      </c>
      <c r="W33" s="7"/>
      <c r="X33" s="48">
        <f t="shared" ref="X33" si="3">V33-(O33+P33)</f>
        <v>-24.684210526315791</v>
      </c>
      <c r="Y33" s="53"/>
    </row>
    <row r="34" spans="1:25" s="9" customFormat="1" x14ac:dyDescent="0.3">
      <c r="A34" s="477"/>
      <c r="B34" s="734"/>
      <c r="C34" s="735"/>
      <c r="D34" s="735"/>
      <c r="E34" s="735"/>
      <c r="F34" s="735"/>
      <c r="G34" s="735"/>
      <c r="H34" s="735"/>
      <c r="I34" s="735"/>
      <c r="J34" s="735"/>
      <c r="K34" s="735"/>
      <c r="L34" s="735"/>
      <c r="M34" s="735"/>
      <c r="N34" s="735"/>
      <c r="O34" s="735"/>
      <c r="P34" s="735"/>
      <c r="Q34" s="735"/>
      <c r="R34" s="735"/>
      <c r="S34" s="735"/>
      <c r="T34" s="735"/>
      <c r="U34" s="735"/>
      <c r="V34" s="735"/>
      <c r="W34" s="735"/>
      <c r="X34" s="735"/>
      <c r="Y34" s="736"/>
    </row>
    <row r="35" spans="1:25" s="9" customFormat="1" x14ac:dyDescent="0.3">
      <c r="A35" s="477"/>
      <c r="B35" s="58" t="s">
        <v>107</v>
      </c>
      <c r="C35" s="58" t="s">
        <v>120</v>
      </c>
      <c r="D35" s="62">
        <v>100012</v>
      </c>
      <c r="E35" s="62" t="s">
        <v>109</v>
      </c>
      <c r="F35" s="62" t="s">
        <v>123</v>
      </c>
      <c r="G35" s="589"/>
      <c r="H35" s="6">
        <v>0</v>
      </c>
      <c r="I35" s="6">
        <v>6</v>
      </c>
      <c r="J35" s="6">
        <v>0</v>
      </c>
      <c r="K35" s="6">
        <v>4</v>
      </c>
      <c r="L35" s="7"/>
      <c r="M35" s="6"/>
      <c r="N35" s="7"/>
      <c r="O35" s="6">
        <v>0</v>
      </c>
      <c r="P35" s="6">
        <v>0</v>
      </c>
      <c r="Q35" s="7"/>
      <c r="R35" s="8">
        <f>SUM(I35:K35)/3</f>
        <v>3.3333333333333335</v>
      </c>
      <c r="S35" s="47">
        <f>(SUM(H35:K35)/38)</f>
        <v>0.26315789473684209</v>
      </c>
      <c r="T35" s="7"/>
      <c r="U35" s="8">
        <f>S35*3</f>
        <v>0.78947368421052633</v>
      </c>
      <c r="V35" s="8">
        <f>S35*5</f>
        <v>1.3157894736842104</v>
      </c>
      <c r="W35" s="7"/>
      <c r="X35" s="48">
        <f t="shared" ref="X35" si="4">V35-(O35+P35)</f>
        <v>1.3157894736842104</v>
      </c>
      <c r="Y35" s="53"/>
    </row>
    <row r="36" spans="1:25" s="9" customFormat="1" x14ac:dyDescent="0.3">
      <c r="A36" s="477"/>
      <c r="B36" s="734"/>
      <c r="C36" s="735"/>
      <c r="D36" s="735"/>
      <c r="E36" s="735"/>
      <c r="F36" s="735"/>
      <c r="G36" s="735"/>
      <c r="H36" s="735"/>
      <c r="I36" s="735"/>
      <c r="J36" s="735"/>
      <c r="K36" s="735"/>
      <c r="L36" s="735"/>
      <c r="M36" s="735"/>
      <c r="N36" s="735"/>
      <c r="O36" s="735"/>
      <c r="P36" s="735"/>
      <c r="Q36" s="735"/>
      <c r="R36" s="735"/>
      <c r="S36" s="735"/>
      <c r="T36" s="735"/>
      <c r="U36" s="735">
        <f t="shared" ref="U36" si="5">S36*3</f>
        <v>0</v>
      </c>
      <c r="V36" s="735">
        <f t="shared" ref="V36" si="6">S36*5</f>
        <v>0</v>
      </c>
      <c r="W36" s="735"/>
      <c r="X36" s="735"/>
      <c r="Y36" s="736"/>
    </row>
    <row r="37" spans="1:25" s="9" customFormat="1" x14ac:dyDescent="0.3">
      <c r="A37" s="477"/>
      <c r="B37" s="58" t="s">
        <v>107</v>
      </c>
      <c r="C37" s="58" t="s">
        <v>121</v>
      </c>
      <c r="D37" s="62">
        <v>100015</v>
      </c>
      <c r="E37" s="62" t="s">
        <v>109</v>
      </c>
      <c r="F37" s="62" t="s">
        <v>124</v>
      </c>
      <c r="G37" s="589"/>
      <c r="H37" s="6">
        <v>11</v>
      </c>
      <c r="I37" s="6">
        <v>13</v>
      </c>
      <c r="J37" s="6">
        <v>10</v>
      </c>
      <c r="K37" s="6">
        <v>21</v>
      </c>
      <c r="L37" s="7"/>
      <c r="M37" s="6"/>
      <c r="N37" s="7"/>
      <c r="O37" s="6">
        <v>38</v>
      </c>
      <c r="P37" s="6">
        <v>0</v>
      </c>
      <c r="Q37" s="7"/>
      <c r="R37" s="8">
        <f>SUM(I37:K37)/3</f>
        <v>14.666666666666666</v>
      </c>
      <c r="S37" s="47">
        <f>(SUM(H37:K37)/38)</f>
        <v>1.4473684210526316</v>
      </c>
      <c r="T37" s="7"/>
      <c r="U37" s="8">
        <f>S37*3</f>
        <v>4.3421052631578947</v>
      </c>
      <c r="V37" s="8">
        <f>S37*5</f>
        <v>7.2368421052631584</v>
      </c>
      <c r="W37" s="7"/>
      <c r="X37" s="48">
        <f t="shared" ref="X37" si="7">V37-(O37+P37)</f>
        <v>-30.763157894736842</v>
      </c>
      <c r="Y37" s="53"/>
    </row>
    <row r="38" spans="1:25" s="9" customFormat="1" x14ac:dyDescent="0.3">
      <c r="A38" s="477"/>
      <c r="B38" s="734"/>
      <c r="C38" s="735"/>
      <c r="D38" s="735"/>
      <c r="E38" s="735"/>
      <c r="F38" s="735"/>
      <c r="G38" s="735"/>
      <c r="H38" s="735"/>
      <c r="I38" s="735"/>
      <c r="J38" s="735"/>
      <c r="K38" s="735"/>
      <c r="L38" s="735"/>
      <c r="M38" s="735"/>
      <c r="N38" s="735"/>
      <c r="O38" s="735"/>
      <c r="P38" s="735"/>
      <c r="Q38" s="735"/>
      <c r="R38" s="735"/>
      <c r="S38" s="735"/>
      <c r="T38" s="735"/>
      <c r="U38" s="735"/>
      <c r="V38" s="735"/>
      <c r="W38" s="735"/>
      <c r="X38" s="735"/>
      <c r="Y38" s="736"/>
    </row>
    <row r="39" spans="1:25" s="9" customFormat="1" x14ac:dyDescent="0.3">
      <c r="A39" s="477"/>
      <c r="B39" s="58" t="s">
        <v>107</v>
      </c>
      <c r="C39" s="58" t="s">
        <v>122</v>
      </c>
      <c r="D39" s="62">
        <v>100016</v>
      </c>
      <c r="E39" s="62" t="s">
        <v>109</v>
      </c>
      <c r="F39" s="62" t="s">
        <v>125</v>
      </c>
      <c r="G39" s="589"/>
      <c r="H39" s="6">
        <v>3</v>
      </c>
      <c r="I39" s="6">
        <v>0</v>
      </c>
      <c r="J39" s="6">
        <v>0</v>
      </c>
      <c r="K39" s="6">
        <v>0</v>
      </c>
      <c r="L39" s="7"/>
      <c r="M39" s="6"/>
      <c r="N39" s="7"/>
      <c r="O39" s="6">
        <v>8</v>
      </c>
      <c r="P39" s="6">
        <v>0</v>
      </c>
      <c r="Q39" s="7"/>
      <c r="R39" s="8">
        <f>SUM(I39:K39)/3</f>
        <v>0</v>
      </c>
      <c r="S39" s="47">
        <f>(SUM(H39:K39)/38)</f>
        <v>7.8947368421052627E-2</v>
      </c>
      <c r="T39" s="7"/>
      <c r="U39" s="8">
        <f>S39*3</f>
        <v>0.23684210526315788</v>
      </c>
      <c r="V39" s="8">
        <f>S39*5</f>
        <v>0.39473684210526316</v>
      </c>
      <c r="W39" s="7"/>
      <c r="X39" s="48">
        <f t="shared" ref="X39" si="8">V39-(O39+P39)</f>
        <v>-7.6052631578947372</v>
      </c>
      <c r="Y39" s="53"/>
    </row>
    <row r="40" spans="1:25" s="9" customFormat="1" x14ac:dyDescent="0.3">
      <c r="A40" s="477"/>
      <c r="B40" s="743"/>
      <c r="C40" s="744"/>
      <c r="D40" s="744"/>
      <c r="E40" s="744"/>
      <c r="F40" s="744"/>
      <c r="G40" s="744"/>
      <c r="H40" s="744"/>
      <c r="I40" s="744"/>
      <c r="J40" s="744"/>
      <c r="K40" s="744"/>
      <c r="L40" s="744"/>
      <c r="M40" s="744"/>
      <c r="N40" s="744"/>
      <c r="O40" s="744"/>
      <c r="P40" s="744"/>
      <c r="Q40" s="744"/>
      <c r="R40" s="744"/>
      <c r="S40" s="744"/>
      <c r="T40" s="744"/>
      <c r="U40" s="744"/>
      <c r="V40" s="744"/>
      <c r="W40" s="744"/>
      <c r="X40" s="744"/>
      <c r="Y40" s="745"/>
    </row>
    <row r="41" spans="1:25" s="9" customFormat="1" x14ac:dyDescent="0.3">
      <c r="A41" s="477"/>
      <c r="B41" s="746"/>
      <c r="C41" s="747"/>
      <c r="D41" s="747"/>
      <c r="E41" s="747"/>
      <c r="F41" s="747"/>
      <c r="G41" s="747"/>
      <c r="H41" s="747"/>
      <c r="I41" s="747"/>
      <c r="J41" s="747"/>
      <c r="K41" s="747"/>
      <c r="L41" s="747"/>
      <c r="M41" s="747"/>
      <c r="N41" s="747"/>
      <c r="O41" s="747"/>
      <c r="P41" s="747"/>
      <c r="Q41" s="747"/>
      <c r="R41" s="747"/>
      <c r="S41" s="747"/>
      <c r="T41" s="747"/>
      <c r="U41" s="747"/>
      <c r="V41" s="747"/>
      <c r="W41" s="747"/>
      <c r="X41" s="747"/>
      <c r="Y41" s="748"/>
    </row>
    <row r="42" spans="1:25" x14ac:dyDescent="0.3">
      <c r="B42" s="215" t="s">
        <v>210</v>
      </c>
      <c r="C42" s="205">
        <v>45482</v>
      </c>
    </row>
    <row r="43" spans="1:25" x14ac:dyDescent="0.3">
      <c r="B43" s="215"/>
      <c r="C43" s="205"/>
    </row>
  </sheetData>
  <mergeCells count="24">
    <mergeCell ref="R5:R6"/>
    <mergeCell ref="B32:Y32"/>
    <mergeCell ref="S5:S6"/>
    <mergeCell ref="L5:L6"/>
    <mergeCell ref="M5:M6"/>
    <mergeCell ref="G5:K5"/>
    <mergeCell ref="N5:N6"/>
    <mergeCell ref="O5:O6"/>
    <mergeCell ref="B38:Y38"/>
    <mergeCell ref="B40:Y41"/>
    <mergeCell ref="B5:F5"/>
    <mergeCell ref="B20:Y20"/>
    <mergeCell ref="B25:Y25"/>
    <mergeCell ref="B34:Y34"/>
    <mergeCell ref="B36:Y36"/>
    <mergeCell ref="T5:T6"/>
    <mergeCell ref="U5:U6"/>
    <mergeCell ref="V5:V6"/>
    <mergeCell ref="W5:W6"/>
    <mergeCell ref="X5:X6"/>
    <mergeCell ref="Y5:Y6"/>
    <mergeCell ref="B13:Y13"/>
    <mergeCell ref="P5:P6"/>
    <mergeCell ref="Q5:Q6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</vt:i4>
      </vt:variant>
    </vt:vector>
  </HeadingPairs>
  <TitlesOfParts>
    <vt:vector size="18" baseType="lpstr">
      <vt:lpstr>Antares</vt:lpstr>
      <vt:lpstr>Cocoon &amp; Deka</vt:lpstr>
      <vt:lpstr>Ceha</vt:lpstr>
      <vt:lpstr>Flokk</vt:lpstr>
      <vt:lpstr>Mades</vt:lpstr>
      <vt:lpstr>Mobika</vt:lpstr>
      <vt:lpstr>Narbutas</vt:lpstr>
      <vt:lpstr>Chassis électrique</vt:lpstr>
      <vt:lpstr>Plateaux</vt:lpstr>
      <vt:lpstr>Nowy Stly - Chaises</vt:lpstr>
      <vt:lpstr>Narbutas - Tables combinées</vt:lpstr>
      <vt:lpstr>Divers</vt:lpstr>
      <vt:lpstr>Vestar</vt:lpstr>
      <vt:lpstr>353G-Giroflex</vt:lpstr>
      <vt:lpstr>INFO SALES</vt:lpstr>
      <vt:lpstr>Mades!Zone_d_impression</vt:lpstr>
      <vt:lpstr>Narbutas!Zone_d_impression</vt:lpstr>
      <vt:lpstr>'Nowy Stly - Chaises'!Zone_d_impression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Ladrette</dc:creator>
  <cp:lastModifiedBy>Diane Ladrette</cp:lastModifiedBy>
  <cp:lastPrinted>2024-07-02T07:53:42Z</cp:lastPrinted>
  <dcterms:created xsi:type="dcterms:W3CDTF">2024-02-02T08:08:07Z</dcterms:created>
  <dcterms:modified xsi:type="dcterms:W3CDTF">2025-03-06T12:21:46Z</dcterms:modified>
</cp:coreProperties>
</file>